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2.xml" ContentType="application/vnd.openxmlformats-officedocument.spreadsheetml.table+xml"/>
  <Override PartName="/xl/tables/table17.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op Items" sheetId="13" r:id="rId13"/>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<sst xmlns="http://schemas.openxmlformats.org/spreadsheetml/2006/main" count="992" uniqueCount="486">
  <si>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</si>
  <si>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</si>
  <si>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</si>
  <si>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</si>
  <si>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</si>
  <si>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</si>
  <si>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</si>
  <si>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</si>
  <si>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</si>
  <si>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</si>
  <si>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</si>
  <si>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</si>
  <si>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</si>
  <si>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</si>
  <si>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</si>
  <si>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</si>
  <si>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</si>
  <si>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</si>
  <si>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</si>
  <si>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</si>
  <si>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</si>
  <si>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</si>
  <si>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</si>
  <si>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</si>
  <si>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</si>
  <si>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</si>
  <si>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</si>
  <si>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</si>
  <si>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</si>
  <si>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</si>
  <si>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</si>
  <si>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</si>
  <si>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</si>
  <si>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</si>
  <si>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</si>
  <si>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</si>
  <si>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</si>
  <si>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</si>
  <si>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</si>
  <si>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</si>
  <si>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</si>
  <si>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</si>
  <si>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</si>
  <si>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</si>
  <si>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</si>
  <si>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</si>
  <si>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</si>
  <si>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</si>
  <si>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</si>
  <si>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</si>
  <si>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</si>
  <si>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</si>
  <si>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</si>
  <si>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</si>
  <si>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</si>
  <si>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</si>
  <si>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</si>
  <si>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</si>
  <si>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</si>
  <si>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</si>
  <si>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</si>
  <si>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</si>
  <si>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</si>
  <si>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</si>
  <si>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</si>
  <si>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</si>
  <si>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</si>
  <si>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</si>
  <si>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</si>
  <si>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</si>
  <si>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</si>
  <si>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</si>
  <si>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</si>
  <si>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</si>
  <si>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</si>
  <si>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</si>
  <si>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</si>
  <si>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</si>
  <si>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</si>
  <si>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</si>
  <si>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</si>
  <si>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</si>
  <si>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</si>
  <si>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</si>
  <si>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</si>
  <si>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</si>
  <si>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</si>
  <si>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</si>
  <si>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</si>
  <si>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</si>
  <si>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</si>
  <si>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</si>
  <si>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</si>
  <si>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</si>
  <si>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</si>
  <si>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</si>
  <si>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</si>
  <si>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</si>
  <si>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</si>
  <si>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</si>
  <si>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</si>
  <si>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</si>
  <si>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</si>
  <si>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</si>
  <si>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</si>
  <si>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</si>
  <si>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</si>
  <si>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</si>
  <si>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</si>
  <si>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</si>
  <si>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</si>
  <si>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</si>
  <si>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</si>
  <si>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</si>
  <si>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</si>
  <si>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</si>
  <si>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</si>
  <si>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</si>
  <si>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</si>
  <si>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</si>
  <si>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</si>
  <si>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</si>
  <si>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</si>
  <si>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</si>
  <si>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</si>
  <si>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</si>
  <si>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</si>
  <si>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</si>
  <si>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</si>
  <si>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</si>
  <si>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</si>
  <si>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</si>
  <si>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</si>
  <si>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</si>
  <si>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</si>
  <si>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</si>
  <si>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</si>
  <si>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</si>
  <si>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</si>
  <si>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</si>
  <si>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</si>
  <si>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</si>
  <si>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</si>
  <si>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</si>
  <si>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</si>
  <si>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</si>
  <si>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</si>
  <si>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</si>
  <si>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</si>
  <si>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</si>
  <si>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</si>
  <si>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</si>
  <si>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</si>
  <si>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</si>
  <si>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</si>
  <si>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</si>
  <si>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</si>
  <si>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</si>
  <si>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</si>
  <si>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</si>
  <si>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</si>
  <si>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</si>
  <si>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</si>
  <si>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</si>
  <si>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</si>
  <si>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</si>
  <si>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</si>
  <si>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</si>
  <si>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</si>
  <si>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</si>
  <si>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</si>
  <si>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</si>
  <si>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</si>
  <si>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</si>
  <si>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</si>
  <si>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</si>
  <si>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</si>
  <si>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</si>
  <si>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</si>
  <si>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</si>
  <si>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</si>
  <si>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</si>
  <si>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</si>
  <si>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</si>
  <si>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</si>
  <si>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</si>
  <si>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</si>
  <si>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</si>
  <si>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</si>
  <si>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</si>
  <si>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</si>
  <si>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</si>
  <si>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</si>
  <si>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</si>
  <si>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</si>
  <si>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</si>
  <si>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</si>
  <si>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</si>
  <si>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</si>
  <si>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</si>
  <si>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</si>
  <si>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</si>
  <si>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</si>
  <si>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</si>
  <si>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</si>
  <si>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</si>
  <si>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</si>
  <si>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</si>
  <si>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</si>
  <si>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</si>
  <si>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</si>
  <si>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</si>
  <si>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</si>
  <si>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</si>
  <si>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thomas_harrer</t>
  </si>
  <si>
    <t>topcybernews</t>
  </si>
  <si>
    <t>adriennemcg1</t>
  </si>
  <si>
    <t>apollonaught1</t>
  </si>
  <si>
    <t>erichertzog</t>
  </si>
  <si>
    <t>Retweet</t>
  </si>
  <si>
    <t>Mentions</t>
  </si>
  <si>
    <t>New announcement - gain deep insights into your data backups. First with #ibmspectrumprotect. AND Just announced metadata discovery, insights, analytics extended to #NetApp #IBMDiscover #ibmtechu #TechUprague @erichertzog https://t.co/7zTcPy83oE</t>
  </si>
  <si>
    <t>ibmspectrumprotect</t>
  </si>
  <si>
    <t>ibmspectrumprotect netapp ibmdiscover ibmtechu techuprague</t>
  </si>
  <si>
    <t>https://pbs.twimg.com/ext_tw_video_thumb/1186621658389536768/pu/img/D3xu4XRrGOhJtbmg.jpg</t>
  </si>
  <si>
    <t>http://pbs.twimg.com/profile_images/1102594034923638786/ixdXE3Vt_normal.png</t>
  </si>
  <si>
    <t>http://pbs.twimg.com/profile_images/1179022939968212992/CkFQ0kAE_normal.jpg</t>
  </si>
  <si>
    <t>http://pbs.twimg.com/profile_images/1162837541868974082/HD5kLzSU_normal.jpg</t>
  </si>
  <si>
    <t>12:38:46</t>
  </si>
  <si>
    <t>12:46:01</t>
  </si>
  <si>
    <t>12:33:49</t>
  </si>
  <si>
    <t>13:27:48</t>
  </si>
  <si>
    <t>https://twitter.com/thomas_harrer/status/1186622924289183744</t>
  </si>
  <si>
    <t>https://twitter.com/topcybernews/status/1186624751231524865</t>
  </si>
  <si>
    <t>https://twitter.com/adriennemcg1/status/1186621678497030146</t>
  </si>
  <si>
    <t>https://twitter.com/apollonaught1/status/1186635264250273792</t>
  </si>
  <si>
    <t>1186622924289183744</t>
  </si>
  <si>
    <t>1186624751231524865</t>
  </si>
  <si>
    <t>1186621678497030146</t>
  </si>
  <si>
    <t>1186635264250273792</t>
  </si>
  <si>
    <t/>
  </si>
  <si>
    <t>en</t>
  </si>
  <si>
    <t>Twitter for iPhone</t>
  </si>
  <si>
    <t>Twitter for Android</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</si>
  <si>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</si>
  <si>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</si>
  <si>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</si>
  <si>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</si>
  <si>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</si>
  <si>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</si>
  <si>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</si>
  <si>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</si>
  <si>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</si>
  <si>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</si>
  <si>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</si>
  <si>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</si>
  <si>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</si>
  <si>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</si>
  <si>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</si>
  <si>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</si>
  <si>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</si>
  <si>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</si>
  <si>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</si>
  <si>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</si>
  <si>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</si>
  <si>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Thomas Harrer</t>
  </si>
  <si>
    <t>Adrienne McGrory</t>
  </si>
  <si>
    <t>Eric Hertzog</t>
  </si>
  <si>
    <t>Ludmila Morozova-Buss &amp; Stéphane Nappo, #CISO</t>
  </si>
  <si>
    <t>Apollonaught</t>
  </si>
  <si>
    <t>#IBM: #CTO #Hardware Sales, #IBMSystems, #Europe. Passionate about: #MegaTrends #AI #Innovation #Data #Technology #CyberSecurity 
#Influencer. Views are my own</t>
  </si>
  <si>
    <t>Infrastructure Architect @IBM. All views expressed are my own.</t>
  </si>
  <si>
    <t>Producer at 103.5 KTU and the Remix Top30 Countdown with Hollywood Hamilton.  Evolution on iHeart Radio.  Playing music all day &amp; all night!</t>
  </si>
  <si>
    <t>Know Thyself. Ten Commandments for Cyber Resilience Strategy. From #CyberSecurity to #CyberResilience.
_xD83D__xDCD6_https://t.co/OFRYqxHBbV
_xD83C__xDDEB__xD83C__xDDF7_ @StephaneNappo _xD83C__xDDE9__xD83C__xDDEA_ Ludmila M-B</t>
  </si>
  <si>
    <t>Fx + Crypto, Deep Space, Reader, writer, lover of language.</t>
  </si>
  <si>
    <t>Stuttgart, Germany</t>
  </si>
  <si>
    <t>Glasgow, Scotland</t>
  </si>
  <si>
    <t>NYC</t>
  </si>
  <si>
    <t xml:space="preserve">_xD83C__xDDE9__xD83C__xDDEA_ Berlin &amp; _xD83C__xDDEB__xD83C__xDDF7_ Paris </t>
  </si>
  <si>
    <t>United States</t>
  </si>
  <si>
    <t>https://t.co/cvqOdZDa2B</t>
  </si>
  <si>
    <t>https://t.co/dEBqLcdEZz</t>
  </si>
  <si>
    <t>http://t.co/Vh4zMhosuL</t>
  </si>
  <si>
    <t>https://t.co/s7l1Uv6L5F</t>
  </si>
  <si>
    <t>https://pbs.twimg.com/profile_banners/1347255096/1551713170</t>
  </si>
  <si>
    <t>https://pbs.twimg.com/profile_banners/705342399703293952/1569495115</t>
  </si>
  <si>
    <t>https://pbs.twimg.com/profile_banners/102198965/1525466758</t>
  </si>
  <si>
    <t>https://pbs.twimg.com/profile_banners/85509895/1556718785</t>
  </si>
  <si>
    <t>https://pbs.twimg.com/profile_banners/1049211519140028416/1566076878</t>
  </si>
  <si>
    <t>http://abs.twimg.com/images/themes/theme4/bg.gif</t>
  </si>
  <si>
    <t>http://abs.twimg.com/images/themes/theme1/bg.png</t>
  </si>
  <si>
    <t>http://pbs.twimg.com/profile_images/795180050677174272/bKe_Jd8b_normal.jpg</t>
  </si>
  <si>
    <t>http://pbs.twimg.com/profile_images/760305105283457024/yzVcFZcT_normal.jpg</t>
  </si>
  <si>
    <t>Open Twitter Page for This Person</t>
  </si>
  <si>
    <t>https://twitter.com/thomas_harrer</t>
  </si>
  <si>
    <t>https://twitter.com/adriennemcg1</t>
  </si>
  <si>
    <t>https://twitter.com/erichertzog</t>
  </si>
  <si>
    <t>https://twitter.com/topcybernews</t>
  </si>
  <si>
    <t>https://twitter.com/apollonaught1</t>
  </si>
  <si>
    <t>thomas_harrer
New announcement - gain deep insights
into your data backups. First with
#ibmspectrumprotect. AND Just announced
metadata discovery, insights, analytics
extended to #NetApp #IBMDiscover
#ibmtechu #TechUprague @erichertzog
https://t.co/7zTcPy83oE</t>
  </si>
  <si>
    <t>adriennemcg1
New announcement - gain deep insights
into your data backups. First with
#ibmspectrumprotect. AND Just announced
metadata discovery, insights, analytics
extended to #NetApp #IBMDiscover
#ibmtechu #TechUprague @erichertzog
https://t.co/7zTcPy83oE</t>
  </si>
  <si>
    <t xml:space="preserve">erichertzog
</t>
  </si>
  <si>
    <t>topcybernews
New announcement - gain deep insights
into your data backups. First with
#ibmspectrumprotect. AND Just announced
metadata discovery, insights, analytics
extended to #NetApp #IBMDiscover
#ibmtechu #TechUprague @erichertzog
https://t.co/7zTcPy83oE</t>
  </si>
  <si>
    <t>apollonaught1
New announcement - gain deep insights
into your data backups. First with
#ibmspectrumprotect. AND Just announced
metadata discovery, insights, analytics
extended to #NetApp #IBMDiscover
#ibmtechu #TechUprague @erichertzog
https://t.co/7zTcPy83oE</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</si>
  <si>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</si>
  <si>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</si>
  <si>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</si>
  <si>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</si>
  <si>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</si>
  <si>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</si>
  <si>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</si>
  <si>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t>
  </si>
  <si>
    <t>Workbook Settings 5</t>
  </si>
  <si>
    <t>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t>
  </si>
  <si>
    <t>Workbook Settings 6</t>
  </si>
  <si>
    <t>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t>
  </si>
  <si>
    <t>Workbook Settings 7</t>
  </si>
  <si>
    <t>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t>
  </si>
  <si>
    <t>Workbook Settings 8</t>
  </si>
  <si>
    <t xml:space="preserv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t>
  </si>
  <si>
    <t>Workbook Settings 9</t>
  </si>
  <si>
    <t>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t>
  </si>
  <si>
    <t>Workbook Settings 10</t>
  </si>
  <si>
    <t>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
  </si>
  <si>
    <t>Workbook Settings 11</t>
  </si>
  <si>
    <t>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t>
  </si>
  <si>
    <t>Workbook Settings 12</t>
  </si>
  <si>
    <t xml:space="preserve">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t>
  </si>
  <si>
    <t>Workbook Settings 13</t>
  </si>
  <si>
    <t>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t>
  </si>
  <si>
    <t>Workbook Settings 14</t>
  </si>
  <si>
    <t>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</si>
  <si>
    <t>Workbook Settings 15</t>
  </si>
  <si>
    <t>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t>
  </si>
  <si>
    <t>Workbook Settings 16</t>
  </si>
  <si>
    <t xml:space="preserve">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t>
  </si>
  <si>
    <t>Workbook Settings 17</t>
  </si>
  <si>
    <t>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48pt White BottomCenter 2147483647 2147483647 Black True 360 Black 86 TopLeft&lt;/value&gt;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t>
  </si>
  <si>
    <t>Workbook Settings 18</t>
  </si>
  <si>
    <t>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</si>
  <si>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</si>
  <si>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</si>
  <si>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</si>
  <si>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</si>
  <si>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0, 12, 96</t>
  </si>
  <si>
    <t>Vertex Group</t>
  </si>
  <si>
    <t>Vertex 1 Group</t>
  </si>
  <si>
    <t>Vertex 2 Group</t>
  </si>
  <si>
    <t>Top URLs in Tweet in Entire Graph</t>
  </si>
  <si>
    <t>Entire Graph Count</t>
  </si>
  <si>
    <t>Top URLs in Tweet in G1</t>
  </si>
  <si>
    <t>G1 Count</t>
  </si>
  <si>
    <t>Top URLs in Tweet</t>
  </si>
  <si>
    <t>Top Domains in Tweet in Entire Graph</t>
  </si>
  <si>
    <t>Top Domains in Tweet in G1</t>
  </si>
  <si>
    <t>Top Domains in Tweet</t>
  </si>
  <si>
    <t>Top Hashtags in Tweet in Entire Graph</t>
  </si>
  <si>
    <t>netapp</t>
  </si>
  <si>
    <t>ibmdiscover</t>
  </si>
  <si>
    <t>ibmtechu</t>
  </si>
  <si>
    <t>techuprague</t>
  </si>
  <si>
    <t>Top Hashtags in Tweet in G1</t>
  </si>
  <si>
    <t>Top Hashtags in Tweet</t>
  </si>
  <si>
    <t>Top Words in Tweet in Entire Graph</t>
  </si>
  <si>
    <t>Words in Sentiment List#1: Positive</t>
  </si>
  <si>
    <t>Words in Sentiment List#2: Negative</t>
  </si>
  <si>
    <t>Words in Sentiment List#3: Angry/Violent</t>
  </si>
  <si>
    <t>Non-categorized Words</t>
  </si>
  <si>
    <t>Total Words</t>
  </si>
  <si>
    <t>insights</t>
  </si>
  <si>
    <t>new</t>
  </si>
  <si>
    <t>announcement</t>
  </si>
  <si>
    <t>gain</t>
  </si>
  <si>
    <t>deep</t>
  </si>
  <si>
    <t>Top Words in Tweet in G1</t>
  </si>
  <si>
    <t>data</t>
  </si>
  <si>
    <t>backups</t>
  </si>
  <si>
    <t>first</t>
  </si>
  <si>
    <t>#ibmspectrumprotect</t>
  </si>
  <si>
    <t>announced</t>
  </si>
  <si>
    <t>Top Words in Tweet</t>
  </si>
  <si>
    <t>insights new announcement gain deep data backups first #ibmspectrumprotect announced</t>
  </si>
  <si>
    <t>Top Word Pairs in Tweet in Entire Graph</t>
  </si>
  <si>
    <t>new,announcement</t>
  </si>
  <si>
    <t>announcement,gain</t>
  </si>
  <si>
    <t>gain,deep</t>
  </si>
  <si>
    <t>deep,insights</t>
  </si>
  <si>
    <t>insights,data</t>
  </si>
  <si>
    <t>data,backups</t>
  </si>
  <si>
    <t>backups,first</t>
  </si>
  <si>
    <t>first,#ibmspectrumprotect</t>
  </si>
  <si>
    <t>#ibmspectrumprotect,announced</t>
  </si>
  <si>
    <t>announced,metadata</t>
  </si>
  <si>
    <t>Top Word Pairs in Tweet in G1</t>
  </si>
  <si>
    <t>Top Word Pairs in Tweet</t>
  </si>
  <si>
    <t>new,announcement  announcement,gain  gain,deep  deep,insights  insights,data  data,backups  backups,first  first,#ibmspectrumprotect  #ibmspectrumprotect,announced  announced,metadata</t>
  </si>
  <si>
    <t>Top Replied-To in Entire Graph</t>
  </si>
  <si>
    <t>Top Mentioned in Entire Graph</t>
  </si>
  <si>
    <t>Top Replied-To in G1</t>
  </si>
  <si>
    <t>Top Mentioned in G1</t>
  </si>
  <si>
    <t>Top Replied-To in Tweet</t>
  </si>
  <si>
    <t>Top Mentioned in Tweet</t>
  </si>
  <si>
    <t>Top Tweeters in Entire Graph</t>
  </si>
  <si>
    <t>Top Tweeters in G1</t>
  </si>
  <si>
    <t>Top Tweeters</t>
  </si>
  <si>
    <t>topcybernews thomas_harrer apollonaught1 erichertzog adriennemcg1</t>
  </si>
  <si>
    <t>Top URLs in Tweet by Count</t>
  </si>
  <si>
    <t>Top URLs in Tweet by Salience</t>
  </si>
  <si>
    <t>Top Domains in Tweet by Count</t>
  </si>
  <si>
    <t>Top Domains in Tweet by Salience</t>
  </si>
  <si>
    <t>Top Hashtags in Tweet by Count</t>
  </si>
  <si>
    <t>Top Hashtags in Tweet by Salience</t>
  </si>
  <si>
    <t>Top Words in Tweet by Count</t>
  </si>
  <si>
    <t>Top Words in Tweet by Salience</t>
  </si>
  <si>
    <t>Top Word Pairs in Tweet by Count</t>
  </si>
  <si>
    <t>Top Word Pairs in Tweet by Salience</t>
  </si>
  <si>
    <t>Word</t>
  </si>
  <si>
    <t>metadata</t>
  </si>
  <si>
    <t>discovery</t>
  </si>
  <si>
    <t>analytics</t>
  </si>
  <si>
    <t>extended</t>
  </si>
  <si>
    <t>#netapp</t>
  </si>
  <si>
    <t>#ibmdiscover</t>
  </si>
  <si>
    <t>#ibmtechu</t>
  </si>
  <si>
    <t>#techuprague</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</si>
  <si>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</si>
  <si>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</si>
  <si>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</si>
  <si>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</si>
  <si>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</si>
  <si>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</si>
  <si>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</si>
  <si>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</si>
  <si>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</si>
  <si>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</si>
  <si>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</si>
  <si>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</si>
  <si>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</si>
  <si>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</si>
  <si>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</si>
  <si>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</si>
  <si>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</si>
  <si>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</si>
  <si>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</si>
  <si>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</si>
  <si>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</si>
  <si>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</si>
  <si>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</si>
  <si>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</si>
  <si>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</si>
  <si>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</si>
  <si>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</si>
  <si>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</si>
  <si>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</si>
  <si>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</si>
  <si>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Modularity</t>
  </si>
  <si>
    <t>NodeXL Version</t>
  </si>
  <si>
    <t>Graph Gallery URL</t>
  </si>
  <si>
    <t>Graph Source</t>
  </si>
  <si>
    <t>Graph Term</t>
  </si>
  <si>
    <t>Data Import</t>
  </si>
  <si>
    <t>Layout Algorithm</t>
  </si>
  <si>
    <t>Groups</t>
  </si>
  <si>
    <t>Autofill Columns</t>
  </si>
  <si>
    <t>Top Items</t>
  </si>
  <si>
    <t>Network Top Items</t>
  </si>
  <si>
    <t>1.0.1.420</t>
  </si>
  <si>
    <t>Key</t>
  </si>
  <si>
    <t>Action Label</t>
  </si>
  <si>
    <t>Action URL</t>
  </si>
  <si>
    <t>Brand Logo</t>
  </si>
  <si>
    <t>Brand URL</t>
  </si>
  <si>
    <t>Hashtag</t>
  </si>
  <si>
    <t>URL</t>
  </si>
  <si>
    <t>Request a NodeXL map</t>
  </si>
  <si>
    <t>http://bit.ly/NXLSNA</t>
  </si>
  <si>
    <t>https://www.connectedaction.net/wp-content/uploads/2018/10/CALogo-Plain_header.jpg</t>
  </si>
  <si>
    <t>http://connectedaction.net</t>
  </si>
  <si>
    <t>#NodeXL</t>
  </si>
  <si>
    <t>Top 10 Vertices, Ranked by Betweenness Centrality</t>
  </si>
  <si>
    <t>Green</t>
  </si>
  <si>
    <t>G1: insights new announcement gain deep data backups first #ibmspectrumprotect announced</t>
  </si>
  <si>
    <t>Autofill Workbook Results</t>
  </si>
  <si>
    <t>Edge Weight▓1▓1▓0▓True▓Green▓Red▓▓Edge Weight▓1▓1▓0▓3▓10▓False▓Edge Weight▓1▓1▓0▓32▓6▓False▓▓0▓0▓0▓True▓Black▓Black▓▓Followers▓80▓3246▓0▓162▓1000▓False▓Followers▓80▓28115▓0▓100▓70▓False▓▓0▓0▓0▓0▓0▓False▓▓0▓0▓0▓0▓0▓False</t>
  </si>
  <si>
    <t>Subgraph</t>
  </si>
  <si>
    <t>GraphSource░TwitterSearch▓GraphTerm░#IBMDiscover▓ImportDescription░The graph represents a network of 5 Twitter users whose recent tweets contained "#IBMDiscover", or who were replied to or mentioned in those tweets, taken from a data set limited to a maximum of 18,000 tweets.  The network was obtained from Twitter on Tuesday, 22 October 2019 at 17:43 UTC.
The tweets in the network were tweeted over the 53-minute period from Tuesday, 22 October 2019 at 12:33 UTC to Tuesday, 22 October 2019 at 13:27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</si>
</sst>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0" borderId="0" xfId="0" applyAlignment="1" quotePrefix="1">
      <alignment wrapText="1"/>
    </xf>
    <xf numFmtId="49" fontId="0" fillId="0" borderId="0" xfId="0" applyNumberFormat="1" applyAlignment="1">
      <alignment/>
    </xf>
    <xf numFmtId="0" fontId="0" fillId="3" borderId="1" xfId="23" applyNumberFormat="1" applyFon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293">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dxf>
    <dxf>
      <numFmt numFmtId="179" formatCode="General"/>
    </dxf>
    <dxf>
      <numFmt numFmtId="179" formatCode="General"/>
    </dxf>
    <dxf>
      <numFmt numFmtId="166" formatCode="#,##0.000"/>
    </dxf>
    <dxf>
      <numFmt numFmtId="166" formatCode="#,##0.000"/>
    </dxf>
    <dxf>
      <numFmt numFmtId="179" formatCode="General"/>
    </dxf>
    <dxf>
      <numFmt numFmtId="165" formatCode="#,##0.0"/>
    </dxf>
    <dxf>
      <numFmt numFmtId="165" formatCode="#,##0.0"/>
    </dxf>
    <dxf>
      <numFmt numFmtId="164" formatCode="0.0"/>
      <border>
        <left style="thin">
          <color theme="0"/>
        </left>
      </border>
    </dxf>
    <dxf>
      <numFmt numFmtId="177" formatCode="@"/>
      <alignment horizontal="general" vertical="bottom" textRotation="0" wrapText="1" shrinkToFit="1" readingOrder="0"/>
    </dxf>
    <dxf>
      <numFmt numFmtId="179" formatCode="General"/>
      <border>
        <right style="thin">
          <color theme="0"/>
        </right>
      </border>
    </dxf>
    <dxf>
      <numFmt numFmtId="179" formatCode="General"/>
    </dxf>
    <dxf>
      <numFmt numFmtId="177" formatCode="@"/>
    </dxf>
    <dxf>
      <numFmt numFmtId="179" formatCode="General"/>
      <border>
        <left style="thin">
          <color theme="0"/>
        </left>
      </border>
    </dxf>
    <dxf>
      <numFmt numFmtId="179" formatCode="General"/>
      <alignment horizontal="general" vertical="bottom" textRotation="0" wrapText="1" shrinkToFit="1" readingOrder="0"/>
    </dxf>
    <dxf>
      <numFmt numFmtId="178" formatCode="0"/>
      <border>
        <right style="thin">
          <color theme="0"/>
        </right>
      </border>
    </dxf>
    <dxf>
      <numFmt numFmtId="164" formatCode="0.0"/>
    </dxf>
    <dxf>
      <numFmt numFmtId="179" formatCode="General"/>
    </dxf>
    <dxf>
      <numFmt numFmtId="179" formatCode="General"/>
    </dxf>
    <dxf>
      <numFmt numFmtId="177" formatCode="@"/>
    </dxf>
    <dxf>
      <numFmt numFmtId="177" formatCode="@"/>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292"/>
      <tableStyleElement type="headerRow" dxfId="291"/>
    </tableStyle>
    <tableStyle name="NodeXL Table" pivot="0" count="1">
      <tableStyleElement type="headerRow" dxfId="29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customXml" Target="../customXml/item1.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29426582"/>
        <c:axId val="63512647"/>
      </c:barChart>
      <c:catAx>
        <c:axId val="2942658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3512647"/>
        <c:crosses val="autoZero"/>
        <c:auto val="1"/>
        <c:lblOffset val="100"/>
        <c:noMultiLvlLbl val="0"/>
      </c:catAx>
      <c:valAx>
        <c:axId val="635126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4265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34742912"/>
        <c:axId val="44250753"/>
      </c:barChart>
      <c:catAx>
        <c:axId val="3474291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4250753"/>
        <c:crosses val="autoZero"/>
        <c:auto val="1"/>
        <c:lblOffset val="100"/>
        <c:noMultiLvlLbl val="0"/>
      </c:catAx>
      <c:valAx>
        <c:axId val="442507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7429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62712458"/>
        <c:axId val="27541211"/>
      </c:barChart>
      <c:catAx>
        <c:axId val="6271245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7541211"/>
        <c:crosses val="autoZero"/>
        <c:auto val="1"/>
        <c:lblOffset val="100"/>
        <c:noMultiLvlLbl val="0"/>
      </c:catAx>
      <c:valAx>
        <c:axId val="275412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7124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46544308"/>
        <c:axId val="16245589"/>
      </c:barChart>
      <c:catAx>
        <c:axId val="4654430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6245589"/>
        <c:crosses val="autoZero"/>
        <c:auto val="1"/>
        <c:lblOffset val="100"/>
        <c:noMultiLvlLbl val="0"/>
      </c:catAx>
      <c:valAx>
        <c:axId val="162455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5443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11992574"/>
        <c:axId val="40824303"/>
      </c:barChart>
      <c:catAx>
        <c:axId val="1199257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0824303"/>
        <c:crosses val="autoZero"/>
        <c:auto val="1"/>
        <c:lblOffset val="100"/>
        <c:noMultiLvlLbl val="0"/>
      </c:catAx>
      <c:valAx>
        <c:axId val="408243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9925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31874408"/>
        <c:axId val="18434217"/>
      </c:barChart>
      <c:catAx>
        <c:axId val="3187440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8434217"/>
        <c:crosses val="autoZero"/>
        <c:auto val="1"/>
        <c:lblOffset val="100"/>
        <c:noMultiLvlLbl val="0"/>
      </c:catAx>
      <c:valAx>
        <c:axId val="184342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8744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31690226"/>
        <c:axId val="16776579"/>
      </c:barChart>
      <c:catAx>
        <c:axId val="3169022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6776579"/>
        <c:crosses val="autoZero"/>
        <c:auto val="1"/>
        <c:lblOffset val="100"/>
        <c:noMultiLvlLbl val="0"/>
      </c:catAx>
      <c:valAx>
        <c:axId val="167765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6902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16771484"/>
        <c:axId val="16725629"/>
      </c:barChart>
      <c:catAx>
        <c:axId val="1677148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6725629"/>
        <c:crosses val="autoZero"/>
        <c:auto val="1"/>
        <c:lblOffset val="100"/>
        <c:noMultiLvlLbl val="0"/>
      </c:catAx>
      <c:valAx>
        <c:axId val="167256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7714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16312934"/>
        <c:axId val="12598679"/>
      </c:barChart>
      <c:catAx>
        <c:axId val="16312934"/>
        <c:scaling>
          <c:orientation val="minMax"/>
        </c:scaling>
        <c:axPos val="b"/>
        <c:delete val="1"/>
        <c:majorTickMark val="out"/>
        <c:minorTickMark val="none"/>
        <c:tickLblPos val="none"/>
        <c:crossAx val="12598679"/>
        <c:crosses val="autoZero"/>
        <c:auto val="1"/>
        <c:lblOffset val="100"/>
        <c:noMultiLvlLbl val="0"/>
      </c:catAx>
      <c:valAx>
        <c:axId val="12598679"/>
        <c:scaling>
          <c:orientation val="minMax"/>
        </c:scaling>
        <c:axPos val="l"/>
        <c:delete val="1"/>
        <c:majorTickMark val="out"/>
        <c:minorTickMark val="none"/>
        <c:tickLblPos val="none"/>
        <c:crossAx val="1631293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thomas_harrer"/>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 name="Subgraph-adriennemcg1"/>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 name="Subgraph-erichertzog"/>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5" name="Subgraph-topcybernew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6" name="Subgraph-apollonaught1"/>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9" totalsRowShown="0" headerRowDxfId="289" dataDxfId="288">
  <autoFilter ref="A2:BN9"/>
  <tableColumns count="66">
    <tableColumn id="1" name="Vertex 1" dataDxfId="287"/>
    <tableColumn id="2" name="Vertex 2" dataDxfId="286"/>
    <tableColumn id="3" name="Color" dataDxfId="285"/>
    <tableColumn id="4" name="Width" dataDxfId="284"/>
    <tableColumn id="11" name="Style" dataDxfId="283"/>
    <tableColumn id="5" name="Opacity" dataDxfId="282"/>
    <tableColumn id="6" name="Visibility" dataDxfId="281"/>
    <tableColumn id="10" name="Label" dataDxfId="280"/>
    <tableColumn id="12" name="Label Text Color" dataDxfId="279"/>
    <tableColumn id="13" name="Label Font Size" dataDxfId="278"/>
    <tableColumn id="14" name="Reciprocated?" dataDxfId="143"/>
    <tableColumn id="7" name="ID" dataDxfId="277"/>
    <tableColumn id="9" name="Dynamic Filter" dataDxfId="276"/>
    <tableColumn id="8" name="Add Your Own Columns Here" dataDxfId="275"/>
    <tableColumn id="15" name="Relationship" dataDxfId="274"/>
    <tableColumn id="16" name="Relationship Date (UTC)" dataDxfId="273"/>
    <tableColumn id="17" name="Tweet" dataDxfId="272"/>
    <tableColumn id="18" name="URLs in Tweet" dataDxfId="271"/>
    <tableColumn id="19" name="Domains in Tweet" dataDxfId="270"/>
    <tableColumn id="20" name="Hashtags in Tweet" dataDxfId="269"/>
    <tableColumn id="21" name="Media in Tweet" dataDxfId="268"/>
    <tableColumn id="22" name="Tweet Image File" dataDxfId="267"/>
    <tableColumn id="23" name="Tweet Date (UTC)" dataDxfId="266"/>
    <tableColumn id="24" name="Date" dataDxfId="265"/>
    <tableColumn id="25" name="Time" dataDxfId="264"/>
    <tableColumn id="26" name="Twitter Page for Tweet" dataDxfId="263"/>
    <tableColumn id="27" name="Latitude" dataDxfId="262"/>
    <tableColumn id="28" name="Longitude" dataDxfId="261"/>
    <tableColumn id="29" name="Imported ID" dataDxfId="260"/>
    <tableColumn id="30" name="In-Reply-To Tweet ID" dataDxfId="259"/>
    <tableColumn id="31" name="Favorited" dataDxfId="258"/>
    <tableColumn id="32" name="Favorite Count" dataDxfId="257"/>
    <tableColumn id="33" name="In-Reply-To User ID" dataDxfId="256"/>
    <tableColumn id="34" name="Is Quote Status" dataDxfId="255"/>
    <tableColumn id="35" name="Language" dataDxfId="254"/>
    <tableColumn id="36" name="Possibly Sensitive" dataDxfId="253"/>
    <tableColumn id="37" name="Quoted Status ID" dataDxfId="252"/>
    <tableColumn id="38" name="Retweeted" dataDxfId="251"/>
    <tableColumn id="39" name="Retweet Count" dataDxfId="250"/>
    <tableColumn id="40" name="Retweet ID" dataDxfId="249"/>
    <tableColumn id="41" name="Source" dataDxfId="248"/>
    <tableColumn id="42" name="Truncated" dataDxfId="247"/>
    <tableColumn id="43" name="Unified Twitter ID" dataDxfId="246"/>
    <tableColumn id="44" name="Imported Tweet Type" dataDxfId="245"/>
    <tableColumn id="45" name="Added By Extended Analysis" dataDxfId="244"/>
    <tableColumn id="46" name="Corrected By Extended Analysis" dataDxfId="243"/>
    <tableColumn id="47" name="Place Bounding Box" dataDxfId="242"/>
    <tableColumn id="48" name="Place Country" dataDxfId="241"/>
    <tableColumn id="49" name="Place Country Code" dataDxfId="240"/>
    <tableColumn id="50" name="Place Full Name" dataDxfId="239"/>
    <tableColumn id="51" name="Place ID" dataDxfId="238"/>
    <tableColumn id="52" name="Place Name" dataDxfId="237"/>
    <tableColumn id="53" name="Place Type" dataDxfId="236"/>
    <tableColumn id="54" name="Place URL" dataDxfId="235"/>
    <tableColumn id="55" name="Edge Weight"/>
    <tableColumn id="56" name="Vertex 1 Group" dataDxfId="158">
      <calculatedColumnFormula>REPLACE(INDEX(GroupVertices[Group], MATCH(Edges[[#This Row],[Vertex 1]],GroupVertices[Vertex],0)),1,1,"")</calculatedColumnFormula>
    </tableColumn>
    <tableColumn id="57" name="Vertex 2 Group" dataDxfId="53">
      <calculatedColumnFormula>REPLACE(INDEX(GroupVertices[Group], MATCH(Edges[[#This Row],[Vertex 2]],GroupVertices[Vertex],0)),1,1,"")</calculatedColumnFormula>
    </tableColumn>
    <tableColumn id="58" name="Sentiment List #1: Positive Word Count" dataDxfId="52"/>
    <tableColumn id="59" name="Sentiment List #1: Positive Word Percentage (%)" dataDxfId="51"/>
    <tableColumn id="60" name="Sentiment List #2: Negative Word Count" dataDxfId="50"/>
    <tableColumn id="61" name="Sentiment List #2: Negative Word Percentage (%)" dataDxfId="49"/>
    <tableColumn id="62" name="Sentiment List #3: Angry/Violent Word Count" dataDxfId="48"/>
    <tableColumn id="63" name="Sentiment List #3: Angry/Violent Word Percentage (%)" dataDxfId="47"/>
    <tableColumn id="64" name="Non-categorized Word Count" dataDxfId="46"/>
    <tableColumn id="65" name="Non-categorized Word Percentage (%)" dataDxfId="45"/>
    <tableColumn id="66" name="Edge Content Word Count" dataDxfId="4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16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D2" totalsRowShown="0" headerRowDxfId="142" dataDxfId="141">
  <autoFilter ref="A1:D2"/>
  <tableColumns count="4">
    <tableColumn id="1" name="Top URLs in Tweet in Entire Graph" dataDxfId="140"/>
    <tableColumn id="2" name="Entire Graph Count" dataDxfId="139"/>
    <tableColumn id="3" name="Top URLs in Tweet in G1" dataDxfId="138"/>
    <tableColumn id="4" name="G1 Count" dataDxfId="137"/>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4:D5" totalsRowShown="0" headerRowDxfId="135" dataDxfId="134">
  <autoFilter ref="A4:D5"/>
  <tableColumns count="4">
    <tableColumn id="1" name="Top Domains in Tweet in Entire Graph" dataDxfId="133"/>
    <tableColumn id="2" name="Entire Graph Count" dataDxfId="132"/>
    <tableColumn id="3" name="Top Domains in Tweet in G1" dataDxfId="131"/>
    <tableColumn id="4" name="G1 Count" dataDxfId="130"/>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7:D12" totalsRowShown="0" headerRowDxfId="128" dataDxfId="127">
  <autoFilter ref="A7:D12"/>
  <tableColumns count="4">
    <tableColumn id="1" name="Top Hashtags in Tweet in Entire Graph" dataDxfId="126"/>
    <tableColumn id="2" name="Entire Graph Count" dataDxfId="125"/>
    <tableColumn id="3" name="Top Hashtags in Tweet in G1" dataDxfId="124"/>
    <tableColumn id="4" name="G1 Count" dataDxfId="123"/>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15:D25" totalsRowShown="0" headerRowDxfId="121" dataDxfId="120">
  <autoFilter ref="A15:D25"/>
  <tableColumns count="4">
    <tableColumn id="1" name="Top Words in Tweet in Entire Graph" dataDxfId="119"/>
    <tableColumn id="2" name="Entire Graph Count" dataDxfId="118"/>
    <tableColumn id="3" name="Top Words in Tweet in G1" dataDxfId="117"/>
    <tableColumn id="4" name="G1 Count" dataDxfId="116"/>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28:D38" totalsRowShown="0" headerRowDxfId="114" dataDxfId="113">
  <autoFilter ref="A28:D38"/>
  <tableColumns count="4">
    <tableColumn id="1" name="Top Word Pairs in Tweet in Entire Graph" dataDxfId="112"/>
    <tableColumn id="2" name="Entire Graph Count" dataDxfId="111"/>
    <tableColumn id="3" name="Top Word Pairs in Tweet in G1" dataDxfId="110"/>
    <tableColumn id="4" name="G1 Count" dataDxfId="109"/>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41:D42" totalsRowShown="0" headerRowDxfId="107" dataDxfId="106">
  <autoFilter ref="A41:D42"/>
  <tableColumns count="4">
    <tableColumn id="1" name="Top Replied-To in Entire Graph" dataDxfId="105"/>
    <tableColumn id="2" name="Entire Graph Count" dataDxfId="101"/>
    <tableColumn id="3" name="Top Replied-To in G1" dataDxfId="100"/>
    <tableColumn id="4" name="G1 Count" dataDxfId="99"/>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44:D45" totalsRowShown="0" headerRowDxfId="104" dataDxfId="103">
  <autoFilter ref="A44:D45"/>
  <tableColumns count="4">
    <tableColumn id="1" name="Top Mentioned in Entire Graph" dataDxfId="102"/>
    <tableColumn id="2" name="Entire Graph Count" dataDxfId="98"/>
    <tableColumn id="3" name="Top Mentioned in G1" dataDxfId="97"/>
    <tableColumn id="4" name="G1 Count" dataDxfId="96"/>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48:D53" totalsRowShown="0" headerRowDxfId="93" dataDxfId="92">
  <autoFilter ref="A48:D53"/>
  <tableColumns count="4">
    <tableColumn id="1" name="Top Tweeters in Entire Graph" dataDxfId="91"/>
    <tableColumn id="2" name="Entire Graph Count" dataDxfId="90"/>
    <tableColumn id="3" name="Top Tweeters in G1" dataDxfId="89"/>
    <tableColumn id="4" name="G1 Count" dataDxfId="88"/>
  </tableColumns>
  <tableStyleInfo name="NodeXL Table" showFirstColumn="0" showLastColumn="0" showRowStripes="1" showColumnStripes="0"/>
</table>
</file>

<file path=xl/tables/table19.xml><?xml version="1.0" encoding="utf-8"?>
<table xmlns="http://schemas.openxmlformats.org/spreadsheetml/2006/main" id="19" name="Words" displayName="Words" ref="A1:G44" totalsRowShown="0" headerRowDxfId="76" dataDxfId="75">
  <autoFilter ref="A1:G44"/>
  <tableColumns count="7">
    <tableColumn id="1" name="Word" dataDxfId="74"/>
    <tableColumn id="2" name="Count" dataDxfId="73"/>
    <tableColumn id="3" name="Salience" dataDxfId="72"/>
    <tableColumn id="4" name="Group" dataDxfId="71"/>
    <tableColumn id="5" name="Word on Sentiment List #1: Positive" dataDxfId="70"/>
    <tableColumn id="6" name="Word on Sentiment List #2: Negative" dataDxfId="69"/>
    <tableColumn id="7" name="Word on Sentiment List #3: Angry/Violent" dataDxfId="6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7" totalsRowShown="0" headerRowDxfId="234" dataDxfId="233">
  <autoFilter ref="A2:BT7"/>
  <tableColumns count="72">
    <tableColumn id="1" name="Vertex" dataDxfId="232"/>
    <tableColumn id="72" name="Subgraph"/>
    <tableColumn id="2" name="Color" dataDxfId="231"/>
    <tableColumn id="5" name="Shape" dataDxfId="230"/>
    <tableColumn id="6" name="Size" dataDxfId="229"/>
    <tableColumn id="4" name="Opacity" dataDxfId="228"/>
    <tableColumn id="7" name="Image File" dataDxfId="227"/>
    <tableColumn id="3" name="Visibility" dataDxfId="226"/>
    <tableColumn id="10" name="Label" dataDxfId="225"/>
    <tableColumn id="16" name="Label Fill Color" dataDxfId="224"/>
    <tableColumn id="9" name="Label Position" dataDxfId="223"/>
    <tableColumn id="8" name="Tooltip" dataDxfId="222"/>
    <tableColumn id="18" name="Layout Order" dataDxfId="221"/>
    <tableColumn id="13" name="X" dataDxfId="220"/>
    <tableColumn id="14" name="Y" dataDxfId="219"/>
    <tableColumn id="12" name="Locked?" dataDxfId="218"/>
    <tableColumn id="19" name="Polar R" dataDxfId="217"/>
    <tableColumn id="20" name="Polar Angle" dataDxfId="216"/>
    <tableColumn id="21" name="Degree" dataDxfId="12"/>
    <tableColumn id="22" name="In-Degree" dataDxfId="11"/>
    <tableColumn id="23" name="Out-Degree" dataDxfId="9"/>
    <tableColumn id="24" name="Betweenness Centrality" dataDxfId="10"/>
    <tableColumn id="25" name="Closeness Centrality" dataDxfId="14"/>
    <tableColumn id="26" name="Eigenvector Centrality" dataDxfId="13"/>
    <tableColumn id="15" name="PageRank" dataDxfId="8"/>
    <tableColumn id="27" name="Clustering Coefficient" dataDxfId="6"/>
    <tableColumn id="29" name="Reciprocated Vertex Pair Ratio" dataDxfId="7"/>
    <tableColumn id="11" name="ID" dataDxfId="215"/>
    <tableColumn id="28" name="Dynamic Filter" dataDxfId="214"/>
    <tableColumn id="17" name="Add Your Own Columns Here" dataDxfId="213"/>
    <tableColumn id="30" name="Name" dataDxfId="212"/>
    <tableColumn id="31" name="Followed" dataDxfId="211"/>
    <tableColumn id="32" name="Followers" dataDxfId="210"/>
    <tableColumn id="33" name="Tweets" dataDxfId="209"/>
    <tableColumn id="34" name="Favorites" dataDxfId="208"/>
    <tableColumn id="35" name="Time Zone UTC Offset (Seconds)" dataDxfId="207"/>
    <tableColumn id="36" name="Description" dataDxfId="206"/>
    <tableColumn id="37" name="Location" dataDxfId="205"/>
    <tableColumn id="38" name="Web" dataDxfId="204"/>
    <tableColumn id="39" name="Time Zone" dataDxfId="203"/>
    <tableColumn id="40" name="Joined Twitter Date (UTC)" dataDxfId="202"/>
    <tableColumn id="41" name="Profile Banner Url" dataDxfId="201"/>
    <tableColumn id="42" name="Default Profile" dataDxfId="200"/>
    <tableColumn id="43" name="Default Profile Image" dataDxfId="199"/>
    <tableColumn id="44" name="Geo Enabled" dataDxfId="198"/>
    <tableColumn id="45" name="Language" dataDxfId="197"/>
    <tableColumn id="46" name="Listed Count" dataDxfId="196"/>
    <tableColumn id="47" name="Profile Background Image Url" dataDxfId="195"/>
    <tableColumn id="48" name="Verified" dataDxfId="194"/>
    <tableColumn id="49" name="Custom Menu Item Text" dataDxfId="193"/>
    <tableColumn id="50" name="Custom Menu Item Action" dataDxfId="192"/>
    <tableColumn id="51" name="Tweeted Search Term?" dataDxfId="159"/>
    <tableColumn id="52" name="Vertex Group" dataDxfId="86">
      <calculatedColumnFormula>REPLACE(INDEX(GroupVertices[Group], MATCH(Vertices[[#This Row],[Vertex]],GroupVertices[Vertex],0)),1,1,"")</calculatedColumnFormula>
    </tableColumn>
    <tableColumn id="53" name="Top URLs in Tweet by Count" dataDxfId="85"/>
    <tableColumn id="54" name="Top URLs in Tweet by Salience" dataDxfId="84"/>
    <tableColumn id="55" name="Top Domains in Tweet by Count" dataDxfId="83"/>
    <tableColumn id="56" name="Top Domains in Tweet by Salience" dataDxfId="82"/>
    <tableColumn id="57" name="Top Hashtags in Tweet by Count" dataDxfId="81"/>
    <tableColumn id="58" name="Top Hashtags in Tweet by Salience" dataDxfId="80"/>
    <tableColumn id="59" name="Top Words in Tweet by Count" dataDxfId="79"/>
    <tableColumn id="60" name="Top Words in Tweet by Salience" dataDxfId="78"/>
    <tableColumn id="61" name="Top Word Pairs in Tweet by Count" dataDxfId="77"/>
    <tableColumn id="62" name="Top Word Pairs in Tweet by Salience" dataDxfId="43"/>
    <tableColumn id="63" name="Sentiment List #1: Positive Word Count" dataDxfId="42"/>
    <tableColumn id="64" name="Sentiment List #1: Positive Word Percentage (%)" dataDxfId="41"/>
    <tableColumn id="65" name="Sentiment List #2: Negative Word Count" dataDxfId="40"/>
    <tableColumn id="66" name="Sentiment List #2: Negative Word Percentage (%)" dataDxfId="39"/>
    <tableColumn id="67" name="Sentiment List #3: Angry/Violent Word Count" dataDxfId="38"/>
    <tableColumn id="68" name="Sentiment List #3: Angry/Violent Word Percentage (%)" dataDxfId="37"/>
    <tableColumn id="69" name="Non-categorized Word Count" dataDxfId="36"/>
    <tableColumn id="70" name="Non-categorized Word Percentage (%)" dataDxfId="35"/>
    <tableColumn id="71" name="Vertex Content Word Count" dataDxfId="34"/>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39" totalsRowShown="0" headerRowDxfId="67" dataDxfId="66">
  <autoFilter ref="A1:L39"/>
  <tableColumns count="12">
    <tableColumn id="1" name="Word 1" dataDxfId="65"/>
    <tableColumn id="2" name="Word 2" dataDxfId="64"/>
    <tableColumn id="3" name="Count" dataDxfId="63"/>
    <tableColumn id="4" name="Salience" dataDxfId="62"/>
    <tableColumn id="5" name="Mutual Information" dataDxfId="61"/>
    <tableColumn id="6" name="Group" dataDxfId="60"/>
    <tableColumn id="7" name="Word1 on Sentiment List #1: Positive" dataDxfId="59"/>
    <tableColumn id="8" name="Word1 on Sentiment List #2: Negative" dataDxfId="58"/>
    <tableColumn id="9" name="Word1 on Sentiment List #3: Angry/Violent" dataDxfId="57"/>
    <tableColumn id="10" name="Word2 on Sentiment List #1: Positive" dataDxfId="56"/>
    <tableColumn id="11" name="Word2 on Sentiment List #2: Negative" dataDxfId="55"/>
    <tableColumn id="12" name="Word2 on Sentiment List #3: Angry/Violent" dataDxfId="54"/>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3" totalsRowShown="0" headerRowDxfId="23" dataDxfId="22">
  <autoFilter ref="A2:C3"/>
  <tableColumns count="3">
    <tableColumn id="1" name="Group 1" dataDxfId="21"/>
    <tableColumn id="2" name="Group 2" dataDxfId="20"/>
    <tableColumn id="3" name="Edges" dataDxfId="19"/>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16" dataDxfId="15">
  <autoFilter ref="A1:B7"/>
  <tableColumns count="2">
    <tableColumn id="1" name="Key" dataDxfId="1"/>
    <tableColumn id="2" name="Value" dataDxfId="0"/>
  </tableColumns>
  <tableStyleInfo name="NodeXL Table" showFirstColumn="0" showLastColumn="0" showRowStripes="1" showColumnStripes="0"/>
</table>
</file>

<file path=xl/tables/table23.xml><?xml version="1.0" encoding="utf-8"?>
<table xmlns="http://schemas.openxmlformats.org/spreadsheetml/2006/main" id="23" name="TopItems_1" displayName="TopItems_1" ref="A1:B6" totalsRowShown="0" headerRowDxfId="5" dataDxfId="4">
  <autoFilter ref="A1:B6"/>
  <tableColumns count="2">
    <tableColumn id="1" name="Top 10 Vertices, Ranked by Betweenness Centrality" dataDxfId="3"/>
    <tableColumn id="2" name="Betweenness Centrality" dataDxfId="2"/>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totalsRowShown="0" headerRowDxfId="191">
  <autoFilter ref="A2:AO3"/>
  <tableColumns count="41">
    <tableColumn id="1" name="Group" dataDxfId="166"/>
    <tableColumn id="2" name="Vertex Color" dataDxfId="165"/>
    <tableColumn id="3" name="Vertex Shape" dataDxfId="163"/>
    <tableColumn id="22" name="Visibility" dataDxfId="164"/>
    <tableColumn id="4" name="Collapsed?"/>
    <tableColumn id="18" name="Label" dataDxfId="190"/>
    <tableColumn id="20" name="Collapsed X"/>
    <tableColumn id="21" name="Collapsed Y"/>
    <tableColumn id="6" name="ID" dataDxfId="189"/>
    <tableColumn id="19" name="Collapsed Properties" dataDxfId="157"/>
    <tableColumn id="5" name="Vertices" dataDxfId="156"/>
    <tableColumn id="7" name="Unique Edges" dataDxfId="155"/>
    <tableColumn id="8" name="Edges With Duplicates" dataDxfId="154"/>
    <tableColumn id="9" name="Total Edges" dataDxfId="153"/>
    <tableColumn id="10" name="Self-Loops" dataDxfId="152"/>
    <tableColumn id="24" name="Reciprocated Vertex Pair Ratio" dataDxfId="151"/>
    <tableColumn id="25" name="Reciprocated Edge Ratio" dataDxfId="150"/>
    <tableColumn id="11" name="Connected Components" dataDxfId="149"/>
    <tableColumn id="12" name="Single-Vertex Connected Components" dataDxfId="148"/>
    <tableColumn id="13" name="Maximum Vertices in a Connected Component" dataDxfId="147"/>
    <tableColumn id="14" name="Maximum Edges in a Connected Component" dataDxfId="146"/>
    <tableColumn id="15" name="Maximum Geodesic Distance (Diameter)" dataDxfId="145"/>
    <tableColumn id="16" name="Average Geodesic Distance" dataDxfId="144"/>
    <tableColumn id="17" name="Graph Density" dataDxfId="136"/>
    <tableColumn id="23" name="Top URLs in Tweet" dataDxfId="129"/>
    <tableColumn id="26" name="Top Domains in Tweet" dataDxfId="122"/>
    <tableColumn id="27" name="Top Hashtags in Tweet" dataDxfId="115"/>
    <tableColumn id="28" name="Top Words in Tweet" dataDxfId="108"/>
    <tableColumn id="29" name="Top Word Pairs in Tweet" dataDxfId="95"/>
    <tableColumn id="30" name="Top Replied-To in Tweet" dataDxfId="94"/>
    <tableColumn id="31" name="Top Mentioned in Tweet" dataDxfId="87"/>
    <tableColumn id="32" name="Top Tweeters" dataDxfId="33"/>
    <tableColumn id="33" name="Sentiment List #1: Positive Word Count" dataDxfId="32"/>
    <tableColumn id="34" name="Sentiment List #1: Positive Word Percentage (%)" dataDxfId="31"/>
    <tableColumn id="35" name="Sentiment List #2: Negative Word Count" dataDxfId="30"/>
    <tableColumn id="36" name="Sentiment List #2: Negative Word Percentage (%)" dataDxfId="29"/>
    <tableColumn id="37" name="Sentiment List #3: Angry/Violent Word Count" dataDxfId="28"/>
    <tableColumn id="38" name="Sentiment List #3: Angry/Violent Word Percentage (%)" dataDxfId="27"/>
    <tableColumn id="39" name="Non-categorized Word Count" dataDxfId="26"/>
    <tableColumn id="40" name="Non-categorized Word Percentage (%)" dataDxfId="25"/>
    <tableColumn id="41" name="Group Content Word Count" dataDxfId="24"/>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 totalsRowShown="0" headerRowDxfId="188" dataDxfId="187">
  <autoFilter ref="A1:C6"/>
  <tableColumns count="3">
    <tableColumn id="1" name="Group" dataDxfId="162"/>
    <tableColumn id="2" name="Vertex" dataDxfId="161"/>
    <tableColumn id="3" name="Vertex ID" dataDxfId="16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8" totalsRowShown="0">
  <autoFilter ref="A1:B38"/>
  <tableColumns count="2">
    <tableColumn id="1" name="Graph Metric" dataDxfId="18"/>
    <tableColumn id="2" name="Value" dataDxfId="1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186"/>
    <tableColumn id="2" name="Degree Frequency" dataDxfId="185">
      <calculatedColumnFormula>COUNTIF(Vertices[Degree], "&gt;= " &amp; D2) - COUNTIF(Vertices[Degree], "&gt;=" &amp; D3)</calculatedColumnFormula>
    </tableColumn>
    <tableColumn id="3" name="In-Degree Bin" dataDxfId="184"/>
    <tableColumn id="4" name="In-Degree Frequency" dataDxfId="183">
      <calculatedColumnFormula>COUNTIF(Vertices[In-Degree], "&gt;= " &amp; F2) - COUNTIF(Vertices[In-Degree], "&gt;=" &amp; F3)</calculatedColumnFormula>
    </tableColumn>
    <tableColumn id="5" name="Out-Degree Bin" dataDxfId="182"/>
    <tableColumn id="6" name="Out-Degree Frequency" dataDxfId="181">
      <calculatedColumnFormula>COUNTIF(Vertices[Out-Degree], "&gt;= " &amp; H2) - COUNTIF(Vertices[Out-Degree], "&gt;=" &amp; H3)</calculatedColumnFormula>
    </tableColumn>
    <tableColumn id="7" name="Betweenness Centrality Bin" dataDxfId="180"/>
    <tableColumn id="8" name="Betweenness Centrality Frequency" dataDxfId="179">
      <calculatedColumnFormula>COUNTIF(Vertices[Betweenness Centrality], "&gt;= " &amp; J2) - COUNTIF(Vertices[Betweenness Centrality], "&gt;=" &amp; J3)</calculatedColumnFormula>
    </tableColumn>
    <tableColumn id="9" name="Closeness Centrality Bin" dataDxfId="178"/>
    <tableColumn id="10" name="Closeness Centrality Frequency" dataDxfId="177">
      <calculatedColumnFormula>COUNTIF(Vertices[Closeness Centrality], "&gt;= " &amp; L2) - COUNTIF(Vertices[Closeness Centrality], "&gt;=" &amp; L3)</calculatedColumnFormula>
    </tableColumn>
    <tableColumn id="11" name="Eigenvector Centrality Bin" dataDxfId="176"/>
    <tableColumn id="12" name="Eigenvector Centrality Frequency" dataDxfId="175">
      <calculatedColumnFormula>COUNTIF(Vertices[Eigenvector Centrality], "&gt;= " &amp; N2) - COUNTIF(Vertices[Eigenvector Centrality], "&gt;=" &amp; N3)</calculatedColumnFormula>
    </tableColumn>
    <tableColumn id="18" name="PageRank Bin" dataDxfId="174"/>
    <tableColumn id="17" name="PageRank Frequency" dataDxfId="173">
      <calculatedColumnFormula>COUNTIF(Vertices[Eigenvector Centrality], "&gt;= " &amp; P2) - COUNTIF(Vertices[Eigenvector Centrality], "&gt;=" &amp; P3)</calculatedColumnFormula>
    </tableColumn>
    <tableColumn id="13" name="Clustering Coefficient Bin" dataDxfId="172"/>
    <tableColumn id="14" name="Clustering Coefficient Frequency" dataDxfId="171">
      <calculatedColumnFormula>COUNTIF(Vertices[Clustering Coefficient], "&gt;= " &amp; R2) - COUNTIF(Vertices[Clustering Coefficient], "&gt;=" &amp; R3)</calculatedColumnFormula>
    </tableColumn>
    <tableColumn id="15" name="Dynamic Filter Bin" dataDxfId="170"/>
    <tableColumn id="16" name="Dynamic Filter Frequency" dataDxfId="16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16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pbs.twimg.com/ext_tw_video_thumb/1186621658389536768/pu/img/D3xu4XRrGOhJtbmg.jpg" TargetMode="External" /><Relationship Id="rId2" Type="http://schemas.openxmlformats.org/officeDocument/2006/relationships/hyperlink" Target="http://pbs.twimg.com/profile_images/1102594034923638786/ixdXE3Vt_normal.png" TargetMode="External" /><Relationship Id="rId3" Type="http://schemas.openxmlformats.org/officeDocument/2006/relationships/hyperlink" Target="http://pbs.twimg.com/profile_images/1102594034923638786/ixdXE3Vt_normal.png" TargetMode="External" /><Relationship Id="rId4" Type="http://schemas.openxmlformats.org/officeDocument/2006/relationships/hyperlink" Target="http://pbs.twimg.com/profile_images/1179022939968212992/CkFQ0kAE_normal.jpg" TargetMode="External" /><Relationship Id="rId5" Type="http://schemas.openxmlformats.org/officeDocument/2006/relationships/hyperlink" Target="http://pbs.twimg.com/profile_images/1179022939968212992/CkFQ0kAE_normal.jpg" TargetMode="External" /><Relationship Id="rId6" Type="http://schemas.openxmlformats.org/officeDocument/2006/relationships/hyperlink" Target="https://pbs.twimg.com/ext_tw_video_thumb/1186621658389536768/pu/img/D3xu4XRrGOhJtbmg.jpg" TargetMode="External" /><Relationship Id="rId7" Type="http://schemas.openxmlformats.org/officeDocument/2006/relationships/hyperlink" Target="http://pbs.twimg.com/profile_images/1162837541868974082/HD5kLzSU_normal.jpg" TargetMode="External" /><Relationship Id="rId8" Type="http://schemas.openxmlformats.org/officeDocument/2006/relationships/hyperlink" Target="http://pbs.twimg.com/profile_images/1162837541868974082/HD5kLzSU_normal.jpg" TargetMode="External" /><Relationship Id="rId9" Type="http://schemas.openxmlformats.org/officeDocument/2006/relationships/hyperlink" Target="https://twitter.com/thomas_harrer/status/1186622924289183744" TargetMode="External" /><Relationship Id="rId10" Type="http://schemas.openxmlformats.org/officeDocument/2006/relationships/hyperlink" Target="https://twitter.com/thomas_harrer/status/1186622924289183744" TargetMode="External" /><Relationship Id="rId11" Type="http://schemas.openxmlformats.org/officeDocument/2006/relationships/hyperlink" Target="https://twitter.com/topcybernews/status/1186624751231524865" TargetMode="External" /><Relationship Id="rId12" Type="http://schemas.openxmlformats.org/officeDocument/2006/relationships/hyperlink" Target="https://twitter.com/topcybernews/status/1186624751231524865" TargetMode="External" /><Relationship Id="rId13" Type="http://schemas.openxmlformats.org/officeDocument/2006/relationships/hyperlink" Target="https://twitter.com/adriennemcg1/status/1186621678497030146" TargetMode="External" /><Relationship Id="rId14" Type="http://schemas.openxmlformats.org/officeDocument/2006/relationships/hyperlink" Target="https://twitter.com/apollonaught1/status/1186635264250273792" TargetMode="External" /><Relationship Id="rId15" Type="http://schemas.openxmlformats.org/officeDocument/2006/relationships/hyperlink" Target="https://twitter.com/apollonaught1/status/1186635264250273792" TargetMode="External" /><Relationship Id="rId16" Type="http://schemas.openxmlformats.org/officeDocument/2006/relationships/comments" Target="../comments1.xml" /><Relationship Id="rId17" Type="http://schemas.openxmlformats.org/officeDocument/2006/relationships/vmlDrawing" Target="../drawings/vmlDrawing1.vml" /><Relationship Id="rId18" Type="http://schemas.openxmlformats.org/officeDocument/2006/relationships/table" Target="../tables/table1.xml" /><Relationship Id="rId19"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cvqOdZDa2B" TargetMode="External" /><Relationship Id="rId2" Type="http://schemas.openxmlformats.org/officeDocument/2006/relationships/hyperlink" Target="https://t.co/dEBqLcdEZz" TargetMode="External" /><Relationship Id="rId3" Type="http://schemas.openxmlformats.org/officeDocument/2006/relationships/hyperlink" Target="http://t.co/Vh4zMhosuL" TargetMode="External" /><Relationship Id="rId4" Type="http://schemas.openxmlformats.org/officeDocument/2006/relationships/hyperlink" Target="https://t.co/s7l1Uv6L5F" TargetMode="External" /><Relationship Id="rId5" Type="http://schemas.openxmlformats.org/officeDocument/2006/relationships/hyperlink" Target="https://pbs.twimg.com/profile_banners/1347255096/1551713170" TargetMode="External" /><Relationship Id="rId6" Type="http://schemas.openxmlformats.org/officeDocument/2006/relationships/hyperlink" Target="https://pbs.twimg.com/profile_banners/705342399703293952/1569495115" TargetMode="External" /><Relationship Id="rId7" Type="http://schemas.openxmlformats.org/officeDocument/2006/relationships/hyperlink" Target="https://pbs.twimg.com/profile_banners/102198965/1525466758" TargetMode="External" /><Relationship Id="rId8" Type="http://schemas.openxmlformats.org/officeDocument/2006/relationships/hyperlink" Target="https://pbs.twimg.com/profile_banners/85509895/1556718785" TargetMode="External" /><Relationship Id="rId9" Type="http://schemas.openxmlformats.org/officeDocument/2006/relationships/hyperlink" Target="https://pbs.twimg.com/profile_banners/1049211519140028416/1566076878" TargetMode="External" /><Relationship Id="rId10" Type="http://schemas.openxmlformats.org/officeDocument/2006/relationships/hyperlink" Target="http://abs.twimg.com/images/themes/theme4/bg.gif" TargetMode="External" /><Relationship Id="rId11" Type="http://schemas.openxmlformats.org/officeDocument/2006/relationships/hyperlink" Target="http://abs.twimg.com/images/themes/theme1/bg.png" TargetMode="External" /><Relationship Id="rId12" Type="http://schemas.openxmlformats.org/officeDocument/2006/relationships/hyperlink" Target="http://abs.twimg.com/images/themes/theme1/bg.png" TargetMode="External" /><Relationship Id="rId13" Type="http://schemas.openxmlformats.org/officeDocument/2006/relationships/hyperlink" Target="http://pbs.twimg.com/profile_images/1102594034923638786/ixdXE3Vt_normal.png" TargetMode="External" /><Relationship Id="rId14" Type="http://schemas.openxmlformats.org/officeDocument/2006/relationships/hyperlink" Target="http://pbs.twimg.com/profile_images/795180050677174272/bKe_Jd8b_normal.jpg" TargetMode="External" /><Relationship Id="rId15" Type="http://schemas.openxmlformats.org/officeDocument/2006/relationships/hyperlink" Target="http://pbs.twimg.com/profile_images/760305105283457024/yzVcFZcT_normal.jpg" TargetMode="External" /><Relationship Id="rId16" Type="http://schemas.openxmlformats.org/officeDocument/2006/relationships/hyperlink" Target="http://pbs.twimg.com/profile_images/1179022939968212992/CkFQ0kAE_normal.jpg" TargetMode="External" /><Relationship Id="rId17" Type="http://schemas.openxmlformats.org/officeDocument/2006/relationships/hyperlink" Target="http://pbs.twimg.com/profile_images/1162837541868974082/HD5kLzSU_normal.jpg" TargetMode="External" /><Relationship Id="rId18" Type="http://schemas.openxmlformats.org/officeDocument/2006/relationships/hyperlink" Target="https://twitter.com/thomas_harrer" TargetMode="External" /><Relationship Id="rId19" Type="http://schemas.openxmlformats.org/officeDocument/2006/relationships/hyperlink" Target="https://twitter.com/adriennemcg1" TargetMode="External" /><Relationship Id="rId20" Type="http://schemas.openxmlformats.org/officeDocument/2006/relationships/hyperlink" Target="https://twitter.com/erichertzog" TargetMode="External" /><Relationship Id="rId21" Type="http://schemas.openxmlformats.org/officeDocument/2006/relationships/hyperlink" Target="https://twitter.com/topcybernews" TargetMode="External" /><Relationship Id="rId22" Type="http://schemas.openxmlformats.org/officeDocument/2006/relationships/hyperlink" Target="https://twitter.com/apollonaught1" TargetMode="External" /><Relationship Id="rId23" Type="http://schemas.openxmlformats.org/officeDocument/2006/relationships/comments" Target="../comments2.xml" /><Relationship Id="rId24" Type="http://schemas.openxmlformats.org/officeDocument/2006/relationships/vmlDrawing" Target="../drawings/vmlDrawing2.vml" /><Relationship Id="rId25" Type="http://schemas.openxmlformats.org/officeDocument/2006/relationships/table" Target="../tables/table2.xml" /><Relationship Id="rId26" Type="http://schemas.openxmlformats.org/officeDocument/2006/relationships/drawing" Target="../drawings/drawing1.xml" /><Relationship Id="rId2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 Id="rId2" Type="http://schemas.openxmlformats.org/officeDocument/2006/relationships/table" Target="../tables/table12.xml" /><Relationship Id="rId3" Type="http://schemas.openxmlformats.org/officeDocument/2006/relationships/table" Target="../tables/table13.xml" /><Relationship Id="rId4" Type="http://schemas.openxmlformats.org/officeDocument/2006/relationships/table" Target="../tables/table14.xml" /><Relationship Id="rId5" Type="http://schemas.openxmlformats.org/officeDocument/2006/relationships/table" Target="../tables/table15.xml" /><Relationship Id="rId6" Type="http://schemas.openxmlformats.org/officeDocument/2006/relationships/table" Target="../tables/table16.xml" /><Relationship Id="rId7" Type="http://schemas.openxmlformats.org/officeDocument/2006/relationships/table" Target="../tables/table17.xml" /><Relationship Id="rId8"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7.28125" style="0" bestFit="1" customWidth="1"/>
    <col min="25" max="25" width="7.57421875" style="0" bestFit="1" customWidth="1"/>
    <col min="26" max="26" width="14.28125" style="0" bestFit="1" customWidth="1"/>
    <col min="27" max="27" width="10.421875" style="0" bestFit="1" customWidth="1"/>
    <col min="28" max="28" width="12.00390625" style="0" bestFit="1" customWidth="1"/>
    <col min="29" max="29" width="11.421875" style="0" bestFit="1" customWidth="1"/>
    <col min="30" max="30" width="13.421875" style="0" bestFit="1" customWidth="1"/>
    <col min="31" max="31" width="11.57421875" style="0" bestFit="1" customWidth="1"/>
    <col min="32" max="32" width="10.421875" style="0" bestFit="1" customWidth="1"/>
    <col min="33" max="33" width="13.421875" style="0" bestFit="1" customWidth="1"/>
    <col min="34" max="34" width="10.57421875" style="0" bestFit="1" customWidth="1"/>
    <col min="35" max="35" width="11.421875" style="0" bestFit="1" customWidth="1"/>
    <col min="36" max="36" width="11.28125" style="0" bestFit="1" customWidth="1"/>
    <col min="37" max="37" width="10.8515625" style="0" bestFit="1" customWidth="1"/>
    <col min="38" max="38" width="11.8515625" style="0" bestFit="1" customWidth="1"/>
    <col min="39" max="40" width="10.7109375" style="0" bestFit="1" customWidth="1"/>
    <col min="42" max="42" width="12.00390625" style="0" bestFit="1" customWidth="1"/>
    <col min="43" max="43" width="11.8515625" style="0" bestFit="1" customWidth="1"/>
    <col min="44" max="44" width="13.421875" style="0" bestFit="1" customWidth="1"/>
    <col min="45" max="45" width="20.7109375" style="0" bestFit="1" customWidth="1"/>
    <col min="46" max="46" width="19.57421875" style="0" bestFit="1" customWidth="1"/>
    <col min="47" max="47" width="16.8515625" style="0" bestFit="1" customWidth="1"/>
    <col min="48" max="48" width="10.140625" style="0" bestFit="1" customWidth="1"/>
    <col min="49" max="49" width="15.421875" style="0" bestFit="1" customWidth="1"/>
    <col min="50" max="50" width="11.57421875" style="0" bestFit="1" customWidth="1"/>
    <col min="51" max="51" width="10.140625" style="0" bestFit="1" customWidth="1"/>
    <col min="52" max="52" width="8.421875" style="0" bestFit="1" customWidth="1"/>
    <col min="53" max="54" width="7.8515625" style="0" bestFit="1" customWidth="1"/>
    <col min="55" max="55" width="14.421875" style="0" customWidth="1"/>
    <col min="56" max="57" width="10.57421875" style="0" bestFit="1" customWidth="1"/>
    <col min="58" max="58" width="21.57421875" style="0" bestFit="1" customWidth="1"/>
    <col min="59" max="59" width="26.8515625" style="0" bestFit="1" customWidth="1"/>
    <col min="60" max="60" width="22.421875" style="0" bestFit="1" customWidth="1"/>
    <col min="61" max="61" width="27.8515625" style="0" bestFit="1" customWidth="1"/>
    <col min="62" max="62" width="27.140625" style="0" bestFit="1" customWidth="1"/>
    <col min="63" max="63" width="32.57421875" style="0" bestFit="1" customWidth="1"/>
    <col min="64" max="64" width="18.00390625" style="0" bestFit="1" customWidth="1"/>
    <col min="65" max="65" width="22.140625" style="0" bestFit="1" customWidth="1"/>
    <col min="66" max="66" width="15.0039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342</v>
      </c>
      <c r="BD2" s="13" t="s">
        <v>346</v>
      </c>
      <c r="BE2" s="13" t="s">
        <v>347</v>
      </c>
      <c r="BF2" s="68" t="s">
        <v>440</v>
      </c>
      <c r="BG2" s="68" t="s">
        <v>441</v>
      </c>
      <c r="BH2" s="68" t="s">
        <v>442</v>
      </c>
      <c r="BI2" s="68" t="s">
        <v>443</v>
      </c>
      <c r="BJ2" s="68" t="s">
        <v>444</v>
      </c>
      <c r="BK2" s="68" t="s">
        <v>445</v>
      </c>
      <c r="BL2" s="68" t="s">
        <v>446</v>
      </c>
      <c r="BM2" s="68" t="s">
        <v>447</v>
      </c>
      <c r="BN2" s="68" t="s">
        <v>448</v>
      </c>
    </row>
    <row r="3" spans="1:66" ht="15" customHeight="1">
      <c r="A3" s="85" t="s">
        <v>214</v>
      </c>
      <c r="B3" s="85" t="s">
        <v>216</v>
      </c>
      <c r="C3" s="53" t="s">
        <v>480</v>
      </c>
      <c r="D3" s="54">
        <v>3</v>
      </c>
      <c r="E3" s="66" t="s">
        <v>132</v>
      </c>
      <c r="F3" s="55">
        <v>32</v>
      </c>
      <c r="G3" s="53"/>
      <c r="H3" s="57"/>
      <c r="I3" s="56"/>
      <c r="J3" s="56"/>
      <c r="K3" s="36" t="s">
        <v>65</v>
      </c>
      <c r="L3" s="62">
        <v>3</v>
      </c>
      <c r="M3" s="62"/>
      <c r="N3" s="63"/>
      <c r="O3" s="86" t="s">
        <v>219</v>
      </c>
      <c r="P3" s="88">
        <v>43760.526921296296</v>
      </c>
      <c r="Q3" s="86" t="s">
        <v>221</v>
      </c>
      <c r="R3" s="86"/>
      <c r="S3" s="86"/>
      <c r="T3" s="86" t="s">
        <v>222</v>
      </c>
      <c r="U3" s="86"/>
      <c r="V3" s="91" t="s">
        <v>225</v>
      </c>
      <c r="W3" s="88">
        <v>43760.526921296296</v>
      </c>
      <c r="X3" s="92">
        <v>43760</v>
      </c>
      <c r="Y3" s="94" t="s">
        <v>228</v>
      </c>
      <c r="Z3" s="91" t="s">
        <v>232</v>
      </c>
      <c r="AA3" s="86"/>
      <c r="AB3" s="86"/>
      <c r="AC3" s="94" t="s">
        <v>236</v>
      </c>
      <c r="AD3" s="86"/>
      <c r="AE3" s="86" t="b">
        <v>0</v>
      </c>
      <c r="AF3" s="86">
        <v>0</v>
      </c>
      <c r="AG3" s="94" t="s">
        <v>240</v>
      </c>
      <c r="AH3" s="86" t="b">
        <v>0</v>
      </c>
      <c r="AI3" s="86" t="s">
        <v>241</v>
      </c>
      <c r="AJ3" s="86"/>
      <c r="AK3" s="94" t="s">
        <v>240</v>
      </c>
      <c r="AL3" s="86" t="b">
        <v>0</v>
      </c>
      <c r="AM3" s="86">
        <v>3</v>
      </c>
      <c r="AN3" s="94" t="s">
        <v>238</v>
      </c>
      <c r="AO3" s="86" t="s">
        <v>242</v>
      </c>
      <c r="AP3" s="86" t="b">
        <v>0</v>
      </c>
      <c r="AQ3" s="94" t="s">
        <v>238</v>
      </c>
      <c r="AR3" s="86" t="s">
        <v>176</v>
      </c>
      <c r="AS3" s="86">
        <v>0</v>
      </c>
      <c r="AT3" s="86">
        <v>0</v>
      </c>
      <c r="AU3" s="86"/>
      <c r="AV3" s="86"/>
      <c r="AW3" s="86"/>
      <c r="AX3" s="86"/>
      <c r="AY3" s="86"/>
      <c r="AZ3" s="86"/>
      <c r="BA3" s="86"/>
      <c r="BB3" s="86"/>
      <c r="BC3">
        <v>1</v>
      </c>
      <c r="BD3" s="86" t="str">
        <f>REPLACE(INDEX(GroupVertices[Group],MATCH(Edges[[#This Row],[Vertex 1]],GroupVertices[Vertex],0)),1,1,"")</f>
        <v>1</v>
      </c>
      <c r="BE3" s="86" t="str">
        <f>REPLACE(INDEX(GroupVertices[Group],MATCH(Edges[[#This Row],[Vertex 2]],GroupVertices[Vertex],0)),1,1,"")</f>
        <v>1</v>
      </c>
      <c r="BF3" s="51"/>
      <c r="BG3" s="52"/>
      <c r="BH3" s="51"/>
      <c r="BI3" s="52"/>
      <c r="BJ3" s="51"/>
      <c r="BK3" s="52"/>
      <c r="BL3" s="51"/>
      <c r="BM3" s="52"/>
      <c r="BN3" s="51"/>
    </row>
    <row r="4" spans="1:66" ht="15" customHeight="1">
      <c r="A4" s="85" t="s">
        <v>214</v>
      </c>
      <c r="B4" s="85" t="s">
        <v>218</v>
      </c>
      <c r="C4" s="53" t="s">
        <v>480</v>
      </c>
      <c r="D4" s="54">
        <v>3</v>
      </c>
      <c r="E4" s="66" t="s">
        <v>132</v>
      </c>
      <c r="F4" s="55">
        <v>32</v>
      </c>
      <c r="G4" s="53"/>
      <c r="H4" s="57"/>
      <c r="I4" s="56"/>
      <c r="J4" s="56"/>
      <c r="K4" s="36" t="s">
        <v>65</v>
      </c>
      <c r="L4" s="84">
        <v>4</v>
      </c>
      <c r="M4" s="84"/>
      <c r="N4" s="63"/>
      <c r="O4" s="87" t="s">
        <v>220</v>
      </c>
      <c r="P4" s="89">
        <v>43760.526921296296</v>
      </c>
      <c r="Q4" s="87" t="s">
        <v>221</v>
      </c>
      <c r="R4" s="87"/>
      <c r="S4" s="87"/>
      <c r="T4" s="87" t="s">
        <v>222</v>
      </c>
      <c r="U4" s="87"/>
      <c r="V4" s="90" t="s">
        <v>225</v>
      </c>
      <c r="W4" s="89">
        <v>43760.526921296296</v>
      </c>
      <c r="X4" s="93">
        <v>43760</v>
      </c>
      <c r="Y4" s="95" t="s">
        <v>228</v>
      </c>
      <c r="Z4" s="90" t="s">
        <v>232</v>
      </c>
      <c r="AA4" s="87"/>
      <c r="AB4" s="87"/>
      <c r="AC4" s="95" t="s">
        <v>236</v>
      </c>
      <c r="AD4" s="87"/>
      <c r="AE4" s="87" t="b">
        <v>0</v>
      </c>
      <c r="AF4" s="87">
        <v>0</v>
      </c>
      <c r="AG4" s="95" t="s">
        <v>240</v>
      </c>
      <c r="AH4" s="87" t="b">
        <v>0</v>
      </c>
      <c r="AI4" s="87" t="s">
        <v>241</v>
      </c>
      <c r="AJ4" s="87"/>
      <c r="AK4" s="95" t="s">
        <v>240</v>
      </c>
      <c r="AL4" s="87" t="b">
        <v>0</v>
      </c>
      <c r="AM4" s="87">
        <v>3</v>
      </c>
      <c r="AN4" s="95" t="s">
        <v>238</v>
      </c>
      <c r="AO4" s="87" t="s">
        <v>242</v>
      </c>
      <c r="AP4" s="87" t="b">
        <v>0</v>
      </c>
      <c r="AQ4" s="95" t="s">
        <v>238</v>
      </c>
      <c r="AR4" s="87" t="s">
        <v>176</v>
      </c>
      <c r="AS4" s="87">
        <v>0</v>
      </c>
      <c r="AT4" s="87">
        <v>0</v>
      </c>
      <c r="AU4" s="87"/>
      <c r="AV4" s="87"/>
      <c r="AW4" s="87"/>
      <c r="AX4" s="87"/>
      <c r="AY4" s="87"/>
      <c r="AZ4" s="87"/>
      <c r="BA4" s="87"/>
      <c r="BB4" s="87"/>
      <c r="BC4">
        <v>1</v>
      </c>
      <c r="BD4" s="86" t="str">
        <f>REPLACE(INDEX(GroupVertices[Group],MATCH(Edges[[#This Row],[Vertex 1]],GroupVertices[Vertex],0)),1,1,"")</f>
        <v>1</v>
      </c>
      <c r="BE4" s="86" t="str">
        <f>REPLACE(INDEX(GroupVertices[Group],MATCH(Edges[[#This Row],[Vertex 2]],GroupVertices[Vertex],0)),1,1,"")</f>
        <v>1</v>
      </c>
      <c r="BF4" s="51">
        <v>1</v>
      </c>
      <c r="BG4" s="52">
        <v>3.8461538461538463</v>
      </c>
      <c r="BH4" s="51">
        <v>0</v>
      </c>
      <c r="BI4" s="52">
        <v>0</v>
      </c>
      <c r="BJ4" s="51">
        <v>0</v>
      </c>
      <c r="BK4" s="52">
        <v>0</v>
      </c>
      <c r="BL4" s="51">
        <v>25</v>
      </c>
      <c r="BM4" s="52">
        <v>96.15384615384616</v>
      </c>
      <c r="BN4" s="51">
        <v>26</v>
      </c>
    </row>
    <row r="5" spans="1:66" ht="15">
      <c r="A5" s="85" t="s">
        <v>215</v>
      </c>
      <c r="B5" s="85" t="s">
        <v>216</v>
      </c>
      <c r="C5" s="53" t="s">
        <v>480</v>
      </c>
      <c r="D5" s="54">
        <v>3</v>
      </c>
      <c r="E5" s="66" t="s">
        <v>132</v>
      </c>
      <c r="F5" s="55">
        <v>32</v>
      </c>
      <c r="G5" s="53"/>
      <c r="H5" s="57"/>
      <c r="I5" s="56"/>
      <c r="J5" s="56"/>
      <c r="K5" s="36" t="s">
        <v>65</v>
      </c>
      <c r="L5" s="84">
        <v>5</v>
      </c>
      <c r="M5" s="84"/>
      <c r="N5" s="63"/>
      <c r="O5" s="87" t="s">
        <v>219</v>
      </c>
      <c r="P5" s="89">
        <v>43760.531956018516</v>
      </c>
      <c r="Q5" s="87" t="s">
        <v>221</v>
      </c>
      <c r="R5" s="87"/>
      <c r="S5" s="87"/>
      <c r="T5" s="87" t="s">
        <v>222</v>
      </c>
      <c r="U5" s="87"/>
      <c r="V5" s="90" t="s">
        <v>226</v>
      </c>
      <c r="W5" s="89">
        <v>43760.531956018516</v>
      </c>
      <c r="X5" s="93">
        <v>43760</v>
      </c>
      <c r="Y5" s="95" t="s">
        <v>229</v>
      </c>
      <c r="Z5" s="90" t="s">
        <v>233</v>
      </c>
      <c r="AA5" s="87"/>
      <c r="AB5" s="87"/>
      <c r="AC5" s="95" t="s">
        <v>237</v>
      </c>
      <c r="AD5" s="87"/>
      <c r="AE5" s="87" t="b">
        <v>0</v>
      </c>
      <c r="AF5" s="87">
        <v>0</v>
      </c>
      <c r="AG5" s="95" t="s">
        <v>240</v>
      </c>
      <c r="AH5" s="87" t="b">
        <v>0</v>
      </c>
      <c r="AI5" s="87" t="s">
        <v>241</v>
      </c>
      <c r="AJ5" s="87"/>
      <c r="AK5" s="95" t="s">
        <v>240</v>
      </c>
      <c r="AL5" s="87" t="b">
        <v>0</v>
      </c>
      <c r="AM5" s="87">
        <v>3</v>
      </c>
      <c r="AN5" s="95" t="s">
        <v>238</v>
      </c>
      <c r="AO5" s="87" t="s">
        <v>243</v>
      </c>
      <c r="AP5" s="87" t="b">
        <v>0</v>
      </c>
      <c r="AQ5" s="95" t="s">
        <v>238</v>
      </c>
      <c r="AR5" s="87" t="s">
        <v>176</v>
      </c>
      <c r="AS5" s="87">
        <v>0</v>
      </c>
      <c r="AT5" s="87">
        <v>0</v>
      </c>
      <c r="AU5" s="87"/>
      <c r="AV5" s="87"/>
      <c r="AW5" s="87"/>
      <c r="AX5" s="87"/>
      <c r="AY5" s="87"/>
      <c r="AZ5" s="87"/>
      <c r="BA5" s="87"/>
      <c r="BB5" s="87"/>
      <c r="BC5">
        <v>1</v>
      </c>
      <c r="BD5" s="86" t="str">
        <f>REPLACE(INDEX(GroupVertices[Group],MATCH(Edges[[#This Row],[Vertex 1]],GroupVertices[Vertex],0)),1,1,"")</f>
        <v>1</v>
      </c>
      <c r="BE5" s="86" t="str">
        <f>REPLACE(INDEX(GroupVertices[Group],MATCH(Edges[[#This Row],[Vertex 2]],GroupVertices[Vertex],0)),1,1,"")</f>
        <v>1</v>
      </c>
      <c r="BF5" s="51"/>
      <c r="BG5" s="52"/>
      <c r="BH5" s="51"/>
      <c r="BI5" s="52"/>
      <c r="BJ5" s="51"/>
      <c r="BK5" s="52"/>
      <c r="BL5" s="51"/>
      <c r="BM5" s="52"/>
      <c r="BN5" s="51"/>
    </row>
    <row r="6" spans="1:66" ht="15">
      <c r="A6" s="85" t="s">
        <v>215</v>
      </c>
      <c r="B6" s="85" t="s">
        <v>218</v>
      </c>
      <c r="C6" s="53" t="s">
        <v>480</v>
      </c>
      <c r="D6" s="54">
        <v>3</v>
      </c>
      <c r="E6" s="66" t="s">
        <v>132</v>
      </c>
      <c r="F6" s="55">
        <v>32</v>
      </c>
      <c r="G6" s="53"/>
      <c r="H6" s="57"/>
      <c r="I6" s="56"/>
      <c r="J6" s="56"/>
      <c r="K6" s="36" t="s">
        <v>65</v>
      </c>
      <c r="L6" s="84">
        <v>6</v>
      </c>
      <c r="M6" s="84"/>
      <c r="N6" s="63"/>
      <c r="O6" s="87" t="s">
        <v>220</v>
      </c>
      <c r="P6" s="89">
        <v>43760.531956018516</v>
      </c>
      <c r="Q6" s="87" t="s">
        <v>221</v>
      </c>
      <c r="R6" s="87"/>
      <c r="S6" s="87"/>
      <c r="T6" s="87" t="s">
        <v>222</v>
      </c>
      <c r="U6" s="87"/>
      <c r="V6" s="90" t="s">
        <v>226</v>
      </c>
      <c r="W6" s="89">
        <v>43760.531956018516</v>
      </c>
      <c r="X6" s="93">
        <v>43760</v>
      </c>
      <c r="Y6" s="95" t="s">
        <v>229</v>
      </c>
      <c r="Z6" s="90" t="s">
        <v>233</v>
      </c>
      <c r="AA6" s="87"/>
      <c r="AB6" s="87"/>
      <c r="AC6" s="95" t="s">
        <v>237</v>
      </c>
      <c r="AD6" s="87"/>
      <c r="AE6" s="87" t="b">
        <v>0</v>
      </c>
      <c r="AF6" s="87">
        <v>0</v>
      </c>
      <c r="AG6" s="95" t="s">
        <v>240</v>
      </c>
      <c r="AH6" s="87" t="b">
        <v>0</v>
      </c>
      <c r="AI6" s="87" t="s">
        <v>241</v>
      </c>
      <c r="AJ6" s="87"/>
      <c r="AK6" s="95" t="s">
        <v>240</v>
      </c>
      <c r="AL6" s="87" t="b">
        <v>0</v>
      </c>
      <c r="AM6" s="87">
        <v>3</v>
      </c>
      <c r="AN6" s="95" t="s">
        <v>238</v>
      </c>
      <c r="AO6" s="87" t="s">
        <v>243</v>
      </c>
      <c r="AP6" s="87" t="b">
        <v>0</v>
      </c>
      <c r="AQ6" s="95" t="s">
        <v>238</v>
      </c>
      <c r="AR6" s="87" t="s">
        <v>176</v>
      </c>
      <c r="AS6" s="87">
        <v>0</v>
      </c>
      <c r="AT6" s="87">
        <v>0</v>
      </c>
      <c r="AU6" s="87"/>
      <c r="AV6" s="87"/>
      <c r="AW6" s="87"/>
      <c r="AX6" s="87"/>
      <c r="AY6" s="87"/>
      <c r="AZ6" s="87"/>
      <c r="BA6" s="87"/>
      <c r="BB6" s="87"/>
      <c r="BC6">
        <v>1</v>
      </c>
      <c r="BD6" s="86" t="str">
        <f>REPLACE(INDEX(GroupVertices[Group],MATCH(Edges[[#This Row],[Vertex 1]],GroupVertices[Vertex],0)),1,1,"")</f>
        <v>1</v>
      </c>
      <c r="BE6" s="86" t="str">
        <f>REPLACE(INDEX(GroupVertices[Group],MATCH(Edges[[#This Row],[Vertex 2]],GroupVertices[Vertex],0)),1,1,"")</f>
        <v>1</v>
      </c>
      <c r="BF6" s="51">
        <v>1</v>
      </c>
      <c r="BG6" s="52">
        <v>3.8461538461538463</v>
      </c>
      <c r="BH6" s="51">
        <v>0</v>
      </c>
      <c r="BI6" s="52">
        <v>0</v>
      </c>
      <c r="BJ6" s="51">
        <v>0</v>
      </c>
      <c r="BK6" s="52">
        <v>0</v>
      </c>
      <c r="BL6" s="51">
        <v>25</v>
      </c>
      <c r="BM6" s="52">
        <v>96.15384615384616</v>
      </c>
      <c r="BN6" s="51">
        <v>26</v>
      </c>
    </row>
    <row r="7" spans="1:66" ht="15">
      <c r="A7" s="85" t="s">
        <v>216</v>
      </c>
      <c r="B7" s="85" t="s">
        <v>218</v>
      </c>
      <c r="C7" s="53" t="s">
        <v>480</v>
      </c>
      <c r="D7" s="54">
        <v>3</v>
      </c>
      <c r="E7" s="66" t="s">
        <v>132</v>
      </c>
      <c r="F7" s="55">
        <v>32</v>
      </c>
      <c r="G7" s="53"/>
      <c r="H7" s="57"/>
      <c r="I7" s="56"/>
      <c r="J7" s="56"/>
      <c r="K7" s="36" t="s">
        <v>65</v>
      </c>
      <c r="L7" s="84">
        <v>7</v>
      </c>
      <c r="M7" s="84"/>
      <c r="N7" s="63"/>
      <c r="O7" s="87" t="s">
        <v>220</v>
      </c>
      <c r="P7" s="89">
        <v>43760.5234837963</v>
      </c>
      <c r="Q7" s="87" t="s">
        <v>221</v>
      </c>
      <c r="R7" s="87"/>
      <c r="S7" s="87"/>
      <c r="T7" s="87" t="s">
        <v>223</v>
      </c>
      <c r="U7" s="90" t="s">
        <v>224</v>
      </c>
      <c r="V7" s="90" t="s">
        <v>224</v>
      </c>
      <c r="W7" s="89">
        <v>43760.5234837963</v>
      </c>
      <c r="X7" s="93">
        <v>43760</v>
      </c>
      <c r="Y7" s="95" t="s">
        <v>230</v>
      </c>
      <c r="Z7" s="90" t="s">
        <v>234</v>
      </c>
      <c r="AA7" s="87"/>
      <c r="AB7" s="87"/>
      <c r="AC7" s="95" t="s">
        <v>238</v>
      </c>
      <c r="AD7" s="87"/>
      <c r="AE7" s="87" t="b">
        <v>0</v>
      </c>
      <c r="AF7" s="87">
        <v>8</v>
      </c>
      <c r="AG7" s="95" t="s">
        <v>240</v>
      </c>
      <c r="AH7" s="87" t="b">
        <v>0</v>
      </c>
      <c r="AI7" s="87" t="s">
        <v>241</v>
      </c>
      <c r="AJ7" s="87"/>
      <c r="AK7" s="95" t="s">
        <v>240</v>
      </c>
      <c r="AL7" s="87" t="b">
        <v>0</v>
      </c>
      <c r="AM7" s="87">
        <v>3</v>
      </c>
      <c r="AN7" s="95" t="s">
        <v>240</v>
      </c>
      <c r="AO7" s="87" t="s">
        <v>242</v>
      </c>
      <c r="AP7" s="87" t="b">
        <v>0</v>
      </c>
      <c r="AQ7" s="95" t="s">
        <v>238</v>
      </c>
      <c r="AR7" s="87" t="s">
        <v>176</v>
      </c>
      <c r="AS7" s="87">
        <v>0</v>
      </c>
      <c r="AT7" s="87">
        <v>0</v>
      </c>
      <c r="AU7" s="87"/>
      <c r="AV7" s="87"/>
      <c r="AW7" s="87"/>
      <c r="AX7" s="87"/>
      <c r="AY7" s="87"/>
      <c r="AZ7" s="87"/>
      <c r="BA7" s="87"/>
      <c r="BB7" s="87"/>
      <c r="BC7">
        <v>1</v>
      </c>
      <c r="BD7" s="86" t="str">
        <f>REPLACE(INDEX(GroupVertices[Group],MATCH(Edges[[#This Row],[Vertex 1]],GroupVertices[Vertex],0)),1,1,"")</f>
        <v>1</v>
      </c>
      <c r="BE7" s="86" t="str">
        <f>REPLACE(INDEX(GroupVertices[Group],MATCH(Edges[[#This Row],[Vertex 2]],GroupVertices[Vertex],0)),1,1,"")</f>
        <v>1</v>
      </c>
      <c r="BF7" s="51">
        <v>1</v>
      </c>
      <c r="BG7" s="52">
        <v>3.8461538461538463</v>
      </c>
      <c r="BH7" s="51">
        <v>0</v>
      </c>
      <c r="BI7" s="52">
        <v>0</v>
      </c>
      <c r="BJ7" s="51">
        <v>0</v>
      </c>
      <c r="BK7" s="52">
        <v>0</v>
      </c>
      <c r="BL7" s="51">
        <v>25</v>
      </c>
      <c r="BM7" s="52">
        <v>96.15384615384616</v>
      </c>
      <c r="BN7" s="51">
        <v>26</v>
      </c>
    </row>
    <row r="8" spans="1:66" ht="15">
      <c r="A8" s="85" t="s">
        <v>217</v>
      </c>
      <c r="B8" s="85" t="s">
        <v>216</v>
      </c>
      <c r="C8" s="53" t="s">
        <v>480</v>
      </c>
      <c r="D8" s="54">
        <v>3</v>
      </c>
      <c r="E8" s="66" t="s">
        <v>132</v>
      </c>
      <c r="F8" s="55">
        <v>32</v>
      </c>
      <c r="G8" s="53"/>
      <c r="H8" s="57"/>
      <c r="I8" s="56"/>
      <c r="J8" s="56"/>
      <c r="K8" s="36" t="s">
        <v>65</v>
      </c>
      <c r="L8" s="84">
        <v>8</v>
      </c>
      <c r="M8" s="84"/>
      <c r="N8" s="63"/>
      <c r="O8" s="87" t="s">
        <v>219</v>
      </c>
      <c r="P8" s="89">
        <v>43760.56097222222</v>
      </c>
      <c r="Q8" s="87" t="s">
        <v>221</v>
      </c>
      <c r="R8" s="87"/>
      <c r="S8" s="87"/>
      <c r="T8" s="87" t="s">
        <v>222</v>
      </c>
      <c r="U8" s="87"/>
      <c r="V8" s="90" t="s">
        <v>227</v>
      </c>
      <c r="W8" s="89">
        <v>43760.56097222222</v>
      </c>
      <c r="X8" s="93">
        <v>43760</v>
      </c>
      <c r="Y8" s="95" t="s">
        <v>231</v>
      </c>
      <c r="Z8" s="90" t="s">
        <v>235</v>
      </c>
      <c r="AA8" s="87"/>
      <c r="AB8" s="87"/>
      <c r="AC8" s="95" t="s">
        <v>239</v>
      </c>
      <c r="AD8" s="87"/>
      <c r="AE8" s="87" t="b">
        <v>0</v>
      </c>
      <c r="AF8" s="87">
        <v>0</v>
      </c>
      <c r="AG8" s="95" t="s">
        <v>240</v>
      </c>
      <c r="AH8" s="87" t="b">
        <v>0</v>
      </c>
      <c r="AI8" s="87" t="s">
        <v>241</v>
      </c>
      <c r="AJ8" s="87"/>
      <c r="AK8" s="95" t="s">
        <v>240</v>
      </c>
      <c r="AL8" s="87" t="b">
        <v>0</v>
      </c>
      <c r="AM8" s="87">
        <v>3</v>
      </c>
      <c r="AN8" s="95" t="s">
        <v>238</v>
      </c>
      <c r="AO8" s="87" t="s">
        <v>243</v>
      </c>
      <c r="AP8" s="87" t="b">
        <v>0</v>
      </c>
      <c r="AQ8" s="95" t="s">
        <v>238</v>
      </c>
      <c r="AR8" s="87" t="s">
        <v>176</v>
      </c>
      <c r="AS8" s="87">
        <v>0</v>
      </c>
      <c r="AT8" s="87">
        <v>0</v>
      </c>
      <c r="AU8" s="87"/>
      <c r="AV8" s="87"/>
      <c r="AW8" s="87"/>
      <c r="AX8" s="87"/>
      <c r="AY8" s="87"/>
      <c r="AZ8" s="87"/>
      <c r="BA8" s="87"/>
      <c r="BB8" s="87"/>
      <c r="BC8">
        <v>1</v>
      </c>
      <c r="BD8" s="86" t="str">
        <f>REPLACE(INDEX(GroupVertices[Group],MATCH(Edges[[#This Row],[Vertex 1]],GroupVertices[Vertex],0)),1,1,"")</f>
        <v>1</v>
      </c>
      <c r="BE8" s="86" t="str">
        <f>REPLACE(INDEX(GroupVertices[Group],MATCH(Edges[[#This Row],[Vertex 2]],GroupVertices[Vertex],0)),1,1,"")</f>
        <v>1</v>
      </c>
      <c r="BF8" s="51"/>
      <c r="BG8" s="52"/>
      <c r="BH8" s="51"/>
      <c r="BI8" s="52"/>
      <c r="BJ8" s="51"/>
      <c r="BK8" s="52"/>
      <c r="BL8" s="51"/>
      <c r="BM8" s="52"/>
      <c r="BN8" s="51"/>
    </row>
    <row r="9" spans="1:66" ht="15">
      <c r="A9" s="85" t="s">
        <v>217</v>
      </c>
      <c r="B9" s="85" t="s">
        <v>218</v>
      </c>
      <c r="C9" s="53" t="s">
        <v>480</v>
      </c>
      <c r="D9" s="54">
        <v>3</v>
      </c>
      <c r="E9" s="66" t="s">
        <v>132</v>
      </c>
      <c r="F9" s="55">
        <v>32</v>
      </c>
      <c r="G9" s="53"/>
      <c r="H9" s="57"/>
      <c r="I9" s="56"/>
      <c r="J9" s="56"/>
      <c r="K9" s="36" t="s">
        <v>65</v>
      </c>
      <c r="L9" s="84">
        <v>9</v>
      </c>
      <c r="M9" s="84"/>
      <c r="N9" s="63"/>
      <c r="O9" s="87" t="s">
        <v>220</v>
      </c>
      <c r="P9" s="89">
        <v>43760.56097222222</v>
      </c>
      <c r="Q9" s="87" t="s">
        <v>221</v>
      </c>
      <c r="R9" s="87"/>
      <c r="S9" s="87"/>
      <c r="T9" s="87" t="s">
        <v>222</v>
      </c>
      <c r="U9" s="87"/>
      <c r="V9" s="90" t="s">
        <v>227</v>
      </c>
      <c r="W9" s="89">
        <v>43760.56097222222</v>
      </c>
      <c r="X9" s="93">
        <v>43760</v>
      </c>
      <c r="Y9" s="95" t="s">
        <v>231</v>
      </c>
      <c r="Z9" s="90" t="s">
        <v>235</v>
      </c>
      <c r="AA9" s="87"/>
      <c r="AB9" s="87"/>
      <c r="AC9" s="95" t="s">
        <v>239</v>
      </c>
      <c r="AD9" s="87"/>
      <c r="AE9" s="87" t="b">
        <v>0</v>
      </c>
      <c r="AF9" s="87">
        <v>0</v>
      </c>
      <c r="AG9" s="95" t="s">
        <v>240</v>
      </c>
      <c r="AH9" s="87" t="b">
        <v>0</v>
      </c>
      <c r="AI9" s="87" t="s">
        <v>241</v>
      </c>
      <c r="AJ9" s="87"/>
      <c r="AK9" s="95" t="s">
        <v>240</v>
      </c>
      <c r="AL9" s="87" t="b">
        <v>0</v>
      </c>
      <c r="AM9" s="87">
        <v>3</v>
      </c>
      <c r="AN9" s="95" t="s">
        <v>238</v>
      </c>
      <c r="AO9" s="87" t="s">
        <v>243</v>
      </c>
      <c r="AP9" s="87" t="b">
        <v>0</v>
      </c>
      <c r="AQ9" s="95" t="s">
        <v>238</v>
      </c>
      <c r="AR9" s="87" t="s">
        <v>176</v>
      </c>
      <c r="AS9" s="87">
        <v>0</v>
      </c>
      <c r="AT9" s="87">
        <v>0</v>
      </c>
      <c r="AU9" s="87"/>
      <c r="AV9" s="87"/>
      <c r="AW9" s="87"/>
      <c r="AX9" s="87"/>
      <c r="AY9" s="87"/>
      <c r="AZ9" s="87"/>
      <c r="BA9" s="87"/>
      <c r="BB9" s="87"/>
      <c r="BC9">
        <v>1</v>
      </c>
      <c r="BD9" s="86" t="str">
        <f>REPLACE(INDEX(GroupVertices[Group],MATCH(Edges[[#This Row],[Vertex 1]],GroupVertices[Vertex],0)),1,1,"")</f>
        <v>1</v>
      </c>
      <c r="BE9" s="86" t="str">
        <f>REPLACE(INDEX(GroupVertices[Group],MATCH(Edges[[#This Row],[Vertex 2]],GroupVertices[Vertex],0)),1,1,"")</f>
        <v>1</v>
      </c>
      <c r="BF9" s="51">
        <v>1</v>
      </c>
      <c r="BG9" s="52">
        <v>3.8461538461538463</v>
      </c>
      <c r="BH9" s="51">
        <v>0</v>
      </c>
      <c r="BI9" s="52">
        <v>0</v>
      </c>
      <c r="BJ9" s="51">
        <v>0</v>
      </c>
      <c r="BK9" s="52">
        <v>0</v>
      </c>
      <c r="BL9" s="51">
        <v>25</v>
      </c>
      <c r="BM9" s="52">
        <v>96.15384615384616</v>
      </c>
      <c r="BN9" s="51">
        <v>26</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
    <dataValidation allowBlank="1" showErrorMessage="1" sqref="N2:N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
    <dataValidation allowBlank="1" showInputMessage="1" promptTitle="Edge Color" prompt="To select an optional edge color, right-click and select Select Color on the right-click menu." sqref="C3:C9"/>
    <dataValidation allowBlank="1" showInputMessage="1" promptTitle="Edge Width" prompt="Enter an optional edge width between 1 and 10." errorTitle="Invalid Edge Width" error="The optional edge width must be a whole number between 1 and 10." sqref="D3:D9"/>
    <dataValidation allowBlank="1" showInputMessage="1" promptTitle="Edge Opacity" prompt="Enter an optional edge opacity between 0 (transparent) and 100 (opaque)." errorTitle="Invalid Edge Opacity" error="The optional edge opacity must be a whole number between 0 and 10." sqref="F3:F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
      <formula1>ValidEdgeVisibilities</formula1>
    </dataValidation>
    <dataValidation allowBlank="1" showInputMessage="1" showErrorMessage="1" promptTitle="Vertex 1 Name" prompt="Enter the name of the edge's first vertex." sqref="A3:A9"/>
    <dataValidation allowBlank="1" showInputMessage="1" showErrorMessage="1" promptTitle="Vertex 2 Name" prompt="Enter the name of the edge's second vertex." sqref="B3:B9"/>
    <dataValidation allowBlank="1" showInputMessage="1" showErrorMessage="1" promptTitle="Edge Label" prompt="Enter an optional edge label." errorTitle="Invalid Edge Visibility" error="You have entered an unrecognized edge visibility.  Try selecting from the drop-down list instead." sqref="H3:H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9"/>
  </dataValidations>
  <hyperlinks>
    <hyperlink ref="U7" r:id="rId1" display="https://pbs.twimg.com/ext_tw_video_thumb/1186621658389536768/pu/img/D3xu4XRrGOhJtbmg.jpg"/>
    <hyperlink ref="V3" r:id="rId2" display="http://pbs.twimg.com/profile_images/1102594034923638786/ixdXE3Vt_normal.png"/>
    <hyperlink ref="V4" r:id="rId3" display="http://pbs.twimg.com/profile_images/1102594034923638786/ixdXE3Vt_normal.png"/>
    <hyperlink ref="V5" r:id="rId4" display="http://pbs.twimg.com/profile_images/1179022939968212992/CkFQ0kAE_normal.jpg"/>
    <hyperlink ref="V6" r:id="rId5" display="http://pbs.twimg.com/profile_images/1179022939968212992/CkFQ0kAE_normal.jpg"/>
    <hyperlink ref="V7" r:id="rId6" display="https://pbs.twimg.com/ext_tw_video_thumb/1186621658389536768/pu/img/D3xu4XRrGOhJtbmg.jpg"/>
    <hyperlink ref="V8" r:id="rId7" display="http://pbs.twimg.com/profile_images/1162837541868974082/HD5kLzSU_normal.jpg"/>
    <hyperlink ref="V9" r:id="rId8" display="http://pbs.twimg.com/profile_images/1162837541868974082/HD5kLzSU_normal.jpg"/>
    <hyperlink ref="Z3" r:id="rId9" display="https://twitter.com/thomas_harrer/status/1186622924289183744"/>
    <hyperlink ref="Z4" r:id="rId10" display="https://twitter.com/thomas_harrer/status/1186622924289183744"/>
    <hyperlink ref="Z5" r:id="rId11" display="https://twitter.com/topcybernews/status/1186624751231524865"/>
    <hyperlink ref="Z6" r:id="rId12" display="https://twitter.com/topcybernews/status/1186624751231524865"/>
    <hyperlink ref="Z7" r:id="rId13" display="https://twitter.com/adriennemcg1/status/1186621678497030146"/>
    <hyperlink ref="Z8" r:id="rId14" display="https://twitter.com/apollonaught1/status/1186635264250273792"/>
    <hyperlink ref="Z9" r:id="rId15" display="https://twitter.com/apollonaught1/status/1186635264250273792"/>
  </hyperlinks>
  <printOptions/>
  <pageMargins left="0.7" right="0.7" top="0.75" bottom="0.75" header="0.3" footer="0.3"/>
  <pageSetup horizontalDpi="600" verticalDpi="600" orientation="portrait" r:id="rId19"/>
  <legacyDrawing r:id="rId17"/>
  <tableParts>
    <tablePart r:id="rId18"/>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9"/>
  <sheetViews>
    <sheetView workbookViewId="0" topLeftCell="A1"/>
  </sheetViews>
  <sheetFormatPr defaultColWidth="9.140625" defaultRowHeight="15"/>
  <cols>
    <col min="1" max="1" width="9.421875" style="0" customWidth="1"/>
    <col min="2" max="2" width="9.421875" style="0" bestFit="1" customWidth="1"/>
    <col min="3" max="3" width="8.421875" style="0" bestFit="1" customWidth="1"/>
    <col min="4" max="4" width="10.57421875" style="0" bestFit="1" customWidth="1"/>
    <col min="5" max="5" width="20.7109375" style="0" bestFit="1" customWidth="1"/>
    <col min="6" max="6" width="8.57421875" style="0" bestFit="1" customWidth="1"/>
    <col min="7" max="7" width="36.28125" style="0" bestFit="1" customWidth="1"/>
    <col min="8" max="8" width="37.140625" style="0" bestFit="1" customWidth="1"/>
    <col min="9" max="9" width="41.8515625" style="0" bestFit="1" customWidth="1"/>
    <col min="10" max="10" width="36.28125" style="0" bestFit="1" customWidth="1"/>
    <col min="11" max="11" width="37.140625" style="0" bestFit="1" customWidth="1"/>
    <col min="12" max="12" width="41.8515625" style="0" bestFit="1" customWidth="1"/>
  </cols>
  <sheetData>
    <row r="1" spans="1:12" ht="15" customHeight="1">
      <c r="A1" s="13" t="s">
        <v>431</v>
      </c>
      <c r="B1" s="13" t="s">
        <v>432</v>
      </c>
      <c r="C1" s="13" t="s">
        <v>425</v>
      </c>
      <c r="D1" s="13" t="s">
        <v>426</v>
      </c>
      <c r="E1" s="13" t="s">
        <v>433</v>
      </c>
      <c r="F1" s="13" t="s">
        <v>144</v>
      </c>
      <c r="G1" s="13" t="s">
        <v>434</v>
      </c>
      <c r="H1" s="13" t="s">
        <v>435</v>
      </c>
      <c r="I1" s="13" t="s">
        <v>436</v>
      </c>
      <c r="J1" s="13" t="s">
        <v>437</v>
      </c>
      <c r="K1" s="13" t="s">
        <v>438</v>
      </c>
      <c r="L1" s="13" t="s">
        <v>439</v>
      </c>
    </row>
    <row r="2" spans="1:12" ht="15">
      <c r="A2" s="94" t="s">
        <v>370</v>
      </c>
      <c r="B2" s="94" t="s">
        <v>371</v>
      </c>
      <c r="C2" s="94">
        <v>4</v>
      </c>
      <c r="D2" s="125">
        <v>0</v>
      </c>
      <c r="E2" s="125">
        <v>1.278753600952829</v>
      </c>
      <c r="F2" s="94" t="s">
        <v>427</v>
      </c>
      <c r="G2" s="94" t="b">
        <v>0</v>
      </c>
      <c r="H2" s="94" t="b">
        <v>0</v>
      </c>
      <c r="I2" s="94" t="b">
        <v>0</v>
      </c>
      <c r="J2" s="94" t="b">
        <v>0</v>
      </c>
      <c r="K2" s="94" t="b">
        <v>0</v>
      </c>
      <c r="L2" s="94" t="b">
        <v>0</v>
      </c>
    </row>
    <row r="3" spans="1:12" ht="15">
      <c r="A3" s="94" t="s">
        <v>371</v>
      </c>
      <c r="B3" s="94" t="s">
        <v>372</v>
      </c>
      <c r="C3" s="94">
        <v>4</v>
      </c>
      <c r="D3" s="125">
        <v>0</v>
      </c>
      <c r="E3" s="125">
        <v>1.278753600952829</v>
      </c>
      <c r="F3" s="94" t="s">
        <v>427</v>
      </c>
      <c r="G3" s="94" t="b">
        <v>0</v>
      </c>
      <c r="H3" s="94" t="b">
        <v>0</v>
      </c>
      <c r="I3" s="94" t="b">
        <v>0</v>
      </c>
      <c r="J3" s="94" t="b">
        <v>1</v>
      </c>
      <c r="K3" s="94" t="b">
        <v>0</v>
      </c>
      <c r="L3" s="94" t="b">
        <v>0</v>
      </c>
    </row>
    <row r="4" spans="1:12" ht="15">
      <c r="A4" s="94" t="s">
        <v>372</v>
      </c>
      <c r="B4" s="94" t="s">
        <v>373</v>
      </c>
      <c r="C4" s="94">
        <v>4</v>
      </c>
      <c r="D4" s="125">
        <v>0</v>
      </c>
      <c r="E4" s="125">
        <v>1.278753600952829</v>
      </c>
      <c r="F4" s="94" t="s">
        <v>427</v>
      </c>
      <c r="G4" s="94" t="b">
        <v>1</v>
      </c>
      <c r="H4" s="94" t="b">
        <v>0</v>
      </c>
      <c r="I4" s="94" t="b">
        <v>0</v>
      </c>
      <c r="J4" s="94" t="b">
        <v>0</v>
      </c>
      <c r="K4" s="94" t="b">
        <v>0</v>
      </c>
      <c r="L4" s="94" t="b">
        <v>0</v>
      </c>
    </row>
    <row r="5" spans="1:12" ht="15">
      <c r="A5" s="94" t="s">
        <v>373</v>
      </c>
      <c r="B5" s="94" t="s">
        <v>369</v>
      </c>
      <c r="C5" s="94">
        <v>4</v>
      </c>
      <c r="D5" s="125">
        <v>0</v>
      </c>
      <c r="E5" s="125">
        <v>0.9777236052888478</v>
      </c>
      <c r="F5" s="94" t="s">
        <v>427</v>
      </c>
      <c r="G5" s="94" t="b">
        <v>0</v>
      </c>
      <c r="H5" s="94" t="b">
        <v>0</v>
      </c>
      <c r="I5" s="94" t="b">
        <v>0</v>
      </c>
      <c r="J5" s="94" t="b">
        <v>0</v>
      </c>
      <c r="K5" s="94" t="b">
        <v>0</v>
      </c>
      <c r="L5" s="94" t="b">
        <v>0</v>
      </c>
    </row>
    <row r="6" spans="1:12" ht="15">
      <c r="A6" s="94" t="s">
        <v>369</v>
      </c>
      <c r="B6" s="94" t="s">
        <v>375</v>
      </c>
      <c r="C6" s="94">
        <v>4</v>
      </c>
      <c r="D6" s="125">
        <v>0</v>
      </c>
      <c r="E6" s="125">
        <v>0.9777236052888478</v>
      </c>
      <c r="F6" s="94" t="s">
        <v>427</v>
      </c>
      <c r="G6" s="94" t="b">
        <v>0</v>
      </c>
      <c r="H6" s="94" t="b">
        <v>0</v>
      </c>
      <c r="I6" s="94" t="b">
        <v>0</v>
      </c>
      <c r="J6" s="94" t="b">
        <v>0</v>
      </c>
      <c r="K6" s="94" t="b">
        <v>0</v>
      </c>
      <c r="L6" s="94" t="b">
        <v>0</v>
      </c>
    </row>
    <row r="7" spans="1:12" ht="15">
      <c r="A7" s="94" t="s">
        <v>375</v>
      </c>
      <c r="B7" s="94" t="s">
        <v>376</v>
      </c>
      <c r="C7" s="94">
        <v>4</v>
      </c>
      <c r="D7" s="125">
        <v>0</v>
      </c>
      <c r="E7" s="125">
        <v>1.278753600952829</v>
      </c>
      <c r="F7" s="94" t="s">
        <v>427</v>
      </c>
      <c r="G7" s="94" t="b">
        <v>0</v>
      </c>
      <c r="H7" s="94" t="b">
        <v>0</v>
      </c>
      <c r="I7" s="94" t="b">
        <v>0</v>
      </c>
      <c r="J7" s="94" t="b">
        <v>0</v>
      </c>
      <c r="K7" s="94" t="b">
        <v>0</v>
      </c>
      <c r="L7" s="94" t="b">
        <v>0</v>
      </c>
    </row>
    <row r="8" spans="1:12" ht="15">
      <c r="A8" s="94" t="s">
        <v>376</v>
      </c>
      <c r="B8" s="94" t="s">
        <v>377</v>
      </c>
      <c r="C8" s="94">
        <v>4</v>
      </c>
      <c r="D8" s="125">
        <v>0</v>
      </c>
      <c r="E8" s="125">
        <v>1.278753600952829</v>
      </c>
      <c r="F8" s="94" t="s">
        <v>427</v>
      </c>
      <c r="G8" s="94" t="b">
        <v>0</v>
      </c>
      <c r="H8" s="94" t="b">
        <v>0</v>
      </c>
      <c r="I8" s="94" t="b">
        <v>0</v>
      </c>
      <c r="J8" s="94" t="b">
        <v>0</v>
      </c>
      <c r="K8" s="94" t="b">
        <v>0</v>
      </c>
      <c r="L8" s="94" t="b">
        <v>0</v>
      </c>
    </row>
    <row r="9" spans="1:12" ht="15">
      <c r="A9" s="94" t="s">
        <v>377</v>
      </c>
      <c r="B9" s="94" t="s">
        <v>378</v>
      </c>
      <c r="C9" s="94">
        <v>4</v>
      </c>
      <c r="D9" s="125">
        <v>0</v>
      </c>
      <c r="E9" s="125">
        <v>1.278753600952829</v>
      </c>
      <c r="F9" s="94" t="s">
        <v>427</v>
      </c>
      <c r="G9" s="94" t="b">
        <v>0</v>
      </c>
      <c r="H9" s="94" t="b">
        <v>0</v>
      </c>
      <c r="I9" s="94" t="b">
        <v>0</v>
      </c>
      <c r="J9" s="94" t="b">
        <v>0</v>
      </c>
      <c r="K9" s="94" t="b">
        <v>0</v>
      </c>
      <c r="L9" s="94" t="b">
        <v>0</v>
      </c>
    </row>
    <row r="10" spans="1:12" ht="15">
      <c r="A10" s="94" t="s">
        <v>378</v>
      </c>
      <c r="B10" s="94" t="s">
        <v>379</v>
      </c>
      <c r="C10" s="94">
        <v>4</v>
      </c>
      <c r="D10" s="125">
        <v>0</v>
      </c>
      <c r="E10" s="125">
        <v>1.278753600952829</v>
      </c>
      <c r="F10" s="94" t="s">
        <v>427</v>
      </c>
      <c r="G10" s="94" t="b">
        <v>0</v>
      </c>
      <c r="H10" s="94" t="b">
        <v>0</v>
      </c>
      <c r="I10" s="94" t="b">
        <v>0</v>
      </c>
      <c r="J10" s="94" t="b">
        <v>0</v>
      </c>
      <c r="K10" s="94" t="b">
        <v>0</v>
      </c>
      <c r="L10" s="94" t="b">
        <v>0</v>
      </c>
    </row>
    <row r="11" spans="1:12" ht="15">
      <c r="A11" s="94" t="s">
        <v>379</v>
      </c>
      <c r="B11" s="94" t="s">
        <v>417</v>
      </c>
      <c r="C11" s="94">
        <v>4</v>
      </c>
      <c r="D11" s="125">
        <v>0</v>
      </c>
      <c r="E11" s="125">
        <v>1.278753600952829</v>
      </c>
      <c r="F11" s="94" t="s">
        <v>427</v>
      </c>
      <c r="G11" s="94" t="b">
        <v>0</v>
      </c>
      <c r="H11" s="94" t="b">
        <v>0</v>
      </c>
      <c r="I11" s="94" t="b">
        <v>0</v>
      </c>
      <c r="J11" s="94" t="b">
        <v>0</v>
      </c>
      <c r="K11" s="94" t="b">
        <v>0</v>
      </c>
      <c r="L11" s="94" t="b">
        <v>0</v>
      </c>
    </row>
    <row r="12" spans="1:12" ht="15">
      <c r="A12" s="94" t="s">
        <v>417</v>
      </c>
      <c r="B12" s="94" t="s">
        <v>418</v>
      </c>
      <c r="C12" s="94">
        <v>4</v>
      </c>
      <c r="D12" s="125">
        <v>0</v>
      </c>
      <c r="E12" s="125">
        <v>1.278753600952829</v>
      </c>
      <c r="F12" s="94" t="s">
        <v>427</v>
      </c>
      <c r="G12" s="94" t="b">
        <v>0</v>
      </c>
      <c r="H12" s="94" t="b">
        <v>0</v>
      </c>
      <c r="I12" s="94" t="b">
        <v>0</v>
      </c>
      <c r="J12" s="94" t="b">
        <v>0</v>
      </c>
      <c r="K12" s="94" t="b">
        <v>0</v>
      </c>
      <c r="L12" s="94" t="b">
        <v>0</v>
      </c>
    </row>
    <row r="13" spans="1:12" ht="15">
      <c r="A13" s="94" t="s">
        <v>418</v>
      </c>
      <c r="B13" s="94" t="s">
        <v>369</v>
      </c>
      <c r="C13" s="94">
        <v>4</v>
      </c>
      <c r="D13" s="125">
        <v>0</v>
      </c>
      <c r="E13" s="125">
        <v>0.9777236052888478</v>
      </c>
      <c r="F13" s="94" t="s">
        <v>427</v>
      </c>
      <c r="G13" s="94" t="b">
        <v>0</v>
      </c>
      <c r="H13" s="94" t="b">
        <v>0</v>
      </c>
      <c r="I13" s="94" t="b">
        <v>0</v>
      </c>
      <c r="J13" s="94" t="b">
        <v>0</v>
      </c>
      <c r="K13" s="94" t="b">
        <v>0</v>
      </c>
      <c r="L13" s="94" t="b">
        <v>0</v>
      </c>
    </row>
    <row r="14" spans="1:12" ht="15">
      <c r="A14" s="94" t="s">
        <v>369</v>
      </c>
      <c r="B14" s="94" t="s">
        <v>419</v>
      </c>
      <c r="C14" s="94">
        <v>4</v>
      </c>
      <c r="D14" s="125">
        <v>0</v>
      </c>
      <c r="E14" s="125">
        <v>0.9777236052888478</v>
      </c>
      <c r="F14" s="94" t="s">
        <v>427</v>
      </c>
      <c r="G14" s="94" t="b">
        <v>0</v>
      </c>
      <c r="H14" s="94" t="b">
        <v>0</v>
      </c>
      <c r="I14" s="94" t="b">
        <v>0</v>
      </c>
      <c r="J14" s="94" t="b">
        <v>0</v>
      </c>
      <c r="K14" s="94" t="b">
        <v>0</v>
      </c>
      <c r="L14" s="94" t="b">
        <v>0</v>
      </c>
    </row>
    <row r="15" spans="1:12" ht="15">
      <c r="A15" s="94" t="s">
        <v>419</v>
      </c>
      <c r="B15" s="94" t="s">
        <v>420</v>
      </c>
      <c r="C15" s="94">
        <v>4</v>
      </c>
      <c r="D15" s="125">
        <v>0</v>
      </c>
      <c r="E15" s="125">
        <v>1.278753600952829</v>
      </c>
      <c r="F15" s="94" t="s">
        <v>427</v>
      </c>
      <c r="G15" s="94" t="b">
        <v>0</v>
      </c>
      <c r="H15" s="94" t="b">
        <v>0</v>
      </c>
      <c r="I15" s="94" t="b">
        <v>0</v>
      </c>
      <c r="J15" s="94" t="b">
        <v>0</v>
      </c>
      <c r="K15" s="94" t="b">
        <v>0</v>
      </c>
      <c r="L15" s="94" t="b">
        <v>0</v>
      </c>
    </row>
    <row r="16" spans="1:12" ht="15">
      <c r="A16" s="94" t="s">
        <v>420</v>
      </c>
      <c r="B16" s="94" t="s">
        <v>421</v>
      </c>
      <c r="C16" s="94">
        <v>4</v>
      </c>
      <c r="D16" s="125">
        <v>0</v>
      </c>
      <c r="E16" s="125">
        <v>1.278753600952829</v>
      </c>
      <c r="F16" s="94" t="s">
        <v>427</v>
      </c>
      <c r="G16" s="94" t="b">
        <v>0</v>
      </c>
      <c r="H16" s="94" t="b">
        <v>0</v>
      </c>
      <c r="I16" s="94" t="b">
        <v>0</v>
      </c>
      <c r="J16" s="94" t="b">
        <v>0</v>
      </c>
      <c r="K16" s="94" t="b">
        <v>0</v>
      </c>
      <c r="L16" s="94" t="b">
        <v>0</v>
      </c>
    </row>
    <row r="17" spans="1:12" ht="15">
      <c r="A17" s="94" t="s">
        <v>421</v>
      </c>
      <c r="B17" s="94" t="s">
        <v>422</v>
      </c>
      <c r="C17" s="94">
        <v>4</v>
      </c>
      <c r="D17" s="125">
        <v>0</v>
      </c>
      <c r="E17" s="125">
        <v>1.278753600952829</v>
      </c>
      <c r="F17" s="94" t="s">
        <v>427</v>
      </c>
      <c r="G17" s="94" t="b">
        <v>0</v>
      </c>
      <c r="H17" s="94" t="b">
        <v>0</v>
      </c>
      <c r="I17" s="94" t="b">
        <v>0</v>
      </c>
      <c r="J17" s="94" t="b">
        <v>0</v>
      </c>
      <c r="K17" s="94" t="b">
        <v>0</v>
      </c>
      <c r="L17" s="94" t="b">
        <v>0</v>
      </c>
    </row>
    <row r="18" spans="1:12" ht="15">
      <c r="A18" s="94" t="s">
        <v>422</v>
      </c>
      <c r="B18" s="94" t="s">
        <v>423</v>
      </c>
      <c r="C18" s="94">
        <v>4</v>
      </c>
      <c r="D18" s="125">
        <v>0</v>
      </c>
      <c r="E18" s="125">
        <v>1.278753600952829</v>
      </c>
      <c r="F18" s="94" t="s">
        <v>427</v>
      </c>
      <c r="G18" s="94" t="b">
        <v>0</v>
      </c>
      <c r="H18" s="94" t="b">
        <v>0</v>
      </c>
      <c r="I18" s="94" t="b">
        <v>0</v>
      </c>
      <c r="J18" s="94" t="b">
        <v>0</v>
      </c>
      <c r="K18" s="94" t="b">
        <v>0</v>
      </c>
      <c r="L18" s="94" t="b">
        <v>0</v>
      </c>
    </row>
    <row r="19" spans="1:12" ht="15">
      <c r="A19" s="94" t="s">
        <v>423</v>
      </c>
      <c r="B19" s="94" t="s">
        <v>424</v>
      </c>
      <c r="C19" s="94">
        <v>4</v>
      </c>
      <c r="D19" s="125">
        <v>0</v>
      </c>
      <c r="E19" s="125">
        <v>1.278753600952829</v>
      </c>
      <c r="F19" s="94" t="s">
        <v>427</v>
      </c>
      <c r="G19" s="94" t="b">
        <v>0</v>
      </c>
      <c r="H19" s="94" t="b">
        <v>0</v>
      </c>
      <c r="I19" s="94" t="b">
        <v>0</v>
      </c>
      <c r="J19" s="94" t="b">
        <v>0</v>
      </c>
      <c r="K19" s="94" t="b">
        <v>0</v>
      </c>
      <c r="L19" s="94" t="b">
        <v>0</v>
      </c>
    </row>
    <row r="20" spans="1:12" ht="15">
      <c r="A20" s="94" t="s">
        <v>424</v>
      </c>
      <c r="B20" s="94" t="s">
        <v>218</v>
      </c>
      <c r="C20" s="94">
        <v>4</v>
      </c>
      <c r="D20" s="125">
        <v>0</v>
      </c>
      <c r="E20" s="125">
        <v>1.278753600952829</v>
      </c>
      <c r="F20" s="94" t="s">
        <v>427</v>
      </c>
      <c r="G20" s="94" t="b">
        <v>0</v>
      </c>
      <c r="H20" s="94" t="b">
        <v>0</v>
      </c>
      <c r="I20" s="94" t="b">
        <v>0</v>
      </c>
      <c r="J20" s="94" t="b">
        <v>0</v>
      </c>
      <c r="K20" s="94" t="b">
        <v>0</v>
      </c>
      <c r="L20" s="94" t="b">
        <v>0</v>
      </c>
    </row>
    <row r="21" spans="1:12" ht="15">
      <c r="A21" s="94" t="s">
        <v>370</v>
      </c>
      <c r="B21" s="94" t="s">
        <v>371</v>
      </c>
      <c r="C21" s="94">
        <v>4</v>
      </c>
      <c r="D21" s="125">
        <v>0</v>
      </c>
      <c r="E21" s="125">
        <v>1.278753600952829</v>
      </c>
      <c r="F21" s="94" t="s">
        <v>343</v>
      </c>
      <c r="G21" s="94" t="b">
        <v>0</v>
      </c>
      <c r="H21" s="94" t="b">
        <v>0</v>
      </c>
      <c r="I21" s="94" t="b">
        <v>0</v>
      </c>
      <c r="J21" s="94" t="b">
        <v>0</v>
      </c>
      <c r="K21" s="94" t="b">
        <v>0</v>
      </c>
      <c r="L21" s="94" t="b">
        <v>0</v>
      </c>
    </row>
    <row r="22" spans="1:12" ht="15">
      <c r="A22" s="94" t="s">
        <v>371</v>
      </c>
      <c r="B22" s="94" t="s">
        <v>372</v>
      </c>
      <c r="C22" s="94">
        <v>4</v>
      </c>
      <c r="D22" s="125">
        <v>0</v>
      </c>
      <c r="E22" s="125">
        <v>1.278753600952829</v>
      </c>
      <c r="F22" s="94" t="s">
        <v>343</v>
      </c>
      <c r="G22" s="94" t="b">
        <v>0</v>
      </c>
      <c r="H22" s="94" t="b">
        <v>0</v>
      </c>
      <c r="I22" s="94" t="b">
        <v>0</v>
      </c>
      <c r="J22" s="94" t="b">
        <v>1</v>
      </c>
      <c r="K22" s="94" t="b">
        <v>0</v>
      </c>
      <c r="L22" s="94" t="b">
        <v>0</v>
      </c>
    </row>
    <row r="23" spans="1:12" ht="15">
      <c r="A23" s="94" t="s">
        <v>372</v>
      </c>
      <c r="B23" s="94" t="s">
        <v>373</v>
      </c>
      <c r="C23" s="94">
        <v>4</v>
      </c>
      <c r="D23" s="125">
        <v>0</v>
      </c>
      <c r="E23" s="125">
        <v>1.278753600952829</v>
      </c>
      <c r="F23" s="94" t="s">
        <v>343</v>
      </c>
      <c r="G23" s="94" t="b">
        <v>1</v>
      </c>
      <c r="H23" s="94" t="b">
        <v>0</v>
      </c>
      <c r="I23" s="94" t="b">
        <v>0</v>
      </c>
      <c r="J23" s="94" t="b">
        <v>0</v>
      </c>
      <c r="K23" s="94" t="b">
        <v>0</v>
      </c>
      <c r="L23" s="94" t="b">
        <v>0</v>
      </c>
    </row>
    <row r="24" spans="1:12" ht="15">
      <c r="A24" s="94" t="s">
        <v>373</v>
      </c>
      <c r="B24" s="94" t="s">
        <v>369</v>
      </c>
      <c r="C24" s="94">
        <v>4</v>
      </c>
      <c r="D24" s="125">
        <v>0</v>
      </c>
      <c r="E24" s="125">
        <v>0.9777236052888478</v>
      </c>
      <c r="F24" s="94" t="s">
        <v>343</v>
      </c>
      <c r="G24" s="94" t="b">
        <v>0</v>
      </c>
      <c r="H24" s="94" t="b">
        <v>0</v>
      </c>
      <c r="I24" s="94" t="b">
        <v>0</v>
      </c>
      <c r="J24" s="94" t="b">
        <v>0</v>
      </c>
      <c r="K24" s="94" t="b">
        <v>0</v>
      </c>
      <c r="L24" s="94" t="b">
        <v>0</v>
      </c>
    </row>
    <row r="25" spans="1:12" ht="15">
      <c r="A25" s="94" t="s">
        <v>369</v>
      </c>
      <c r="B25" s="94" t="s">
        <v>375</v>
      </c>
      <c r="C25" s="94">
        <v>4</v>
      </c>
      <c r="D25" s="125">
        <v>0</v>
      </c>
      <c r="E25" s="125">
        <v>0.9777236052888478</v>
      </c>
      <c r="F25" s="94" t="s">
        <v>343</v>
      </c>
      <c r="G25" s="94" t="b">
        <v>0</v>
      </c>
      <c r="H25" s="94" t="b">
        <v>0</v>
      </c>
      <c r="I25" s="94" t="b">
        <v>0</v>
      </c>
      <c r="J25" s="94" t="b">
        <v>0</v>
      </c>
      <c r="K25" s="94" t="b">
        <v>0</v>
      </c>
      <c r="L25" s="94" t="b">
        <v>0</v>
      </c>
    </row>
    <row r="26" spans="1:12" ht="15">
      <c r="A26" s="94" t="s">
        <v>375</v>
      </c>
      <c r="B26" s="94" t="s">
        <v>376</v>
      </c>
      <c r="C26" s="94">
        <v>4</v>
      </c>
      <c r="D26" s="125">
        <v>0</v>
      </c>
      <c r="E26" s="125">
        <v>1.278753600952829</v>
      </c>
      <c r="F26" s="94" t="s">
        <v>343</v>
      </c>
      <c r="G26" s="94" t="b">
        <v>0</v>
      </c>
      <c r="H26" s="94" t="b">
        <v>0</v>
      </c>
      <c r="I26" s="94" t="b">
        <v>0</v>
      </c>
      <c r="J26" s="94" t="b">
        <v>0</v>
      </c>
      <c r="K26" s="94" t="b">
        <v>0</v>
      </c>
      <c r="L26" s="94" t="b">
        <v>0</v>
      </c>
    </row>
    <row r="27" spans="1:12" ht="15">
      <c r="A27" s="94" t="s">
        <v>376</v>
      </c>
      <c r="B27" s="94" t="s">
        <v>377</v>
      </c>
      <c r="C27" s="94">
        <v>4</v>
      </c>
      <c r="D27" s="125">
        <v>0</v>
      </c>
      <c r="E27" s="125">
        <v>1.278753600952829</v>
      </c>
      <c r="F27" s="94" t="s">
        <v>343</v>
      </c>
      <c r="G27" s="94" t="b">
        <v>0</v>
      </c>
      <c r="H27" s="94" t="b">
        <v>0</v>
      </c>
      <c r="I27" s="94" t="b">
        <v>0</v>
      </c>
      <c r="J27" s="94" t="b">
        <v>0</v>
      </c>
      <c r="K27" s="94" t="b">
        <v>0</v>
      </c>
      <c r="L27" s="94" t="b">
        <v>0</v>
      </c>
    </row>
    <row r="28" spans="1:12" ht="15">
      <c r="A28" s="94" t="s">
        <v>377</v>
      </c>
      <c r="B28" s="94" t="s">
        <v>378</v>
      </c>
      <c r="C28" s="94">
        <v>4</v>
      </c>
      <c r="D28" s="125">
        <v>0</v>
      </c>
      <c r="E28" s="125">
        <v>1.278753600952829</v>
      </c>
      <c r="F28" s="94" t="s">
        <v>343</v>
      </c>
      <c r="G28" s="94" t="b">
        <v>0</v>
      </c>
      <c r="H28" s="94" t="b">
        <v>0</v>
      </c>
      <c r="I28" s="94" t="b">
        <v>0</v>
      </c>
      <c r="J28" s="94" t="b">
        <v>0</v>
      </c>
      <c r="K28" s="94" t="b">
        <v>0</v>
      </c>
      <c r="L28" s="94" t="b">
        <v>0</v>
      </c>
    </row>
    <row r="29" spans="1:12" ht="15">
      <c r="A29" s="94" t="s">
        <v>378</v>
      </c>
      <c r="B29" s="94" t="s">
        <v>379</v>
      </c>
      <c r="C29" s="94">
        <v>4</v>
      </c>
      <c r="D29" s="125">
        <v>0</v>
      </c>
      <c r="E29" s="125">
        <v>1.278753600952829</v>
      </c>
      <c r="F29" s="94" t="s">
        <v>343</v>
      </c>
      <c r="G29" s="94" t="b">
        <v>0</v>
      </c>
      <c r="H29" s="94" t="b">
        <v>0</v>
      </c>
      <c r="I29" s="94" t="b">
        <v>0</v>
      </c>
      <c r="J29" s="94" t="b">
        <v>0</v>
      </c>
      <c r="K29" s="94" t="b">
        <v>0</v>
      </c>
      <c r="L29" s="94" t="b">
        <v>0</v>
      </c>
    </row>
    <row r="30" spans="1:12" ht="15">
      <c r="A30" s="94" t="s">
        <v>379</v>
      </c>
      <c r="B30" s="94" t="s">
        <v>417</v>
      </c>
      <c r="C30" s="94">
        <v>4</v>
      </c>
      <c r="D30" s="125">
        <v>0</v>
      </c>
      <c r="E30" s="125">
        <v>1.278753600952829</v>
      </c>
      <c r="F30" s="94" t="s">
        <v>343</v>
      </c>
      <c r="G30" s="94" t="b">
        <v>0</v>
      </c>
      <c r="H30" s="94" t="b">
        <v>0</v>
      </c>
      <c r="I30" s="94" t="b">
        <v>0</v>
      </c>
      <c r="J30" s="94" t="b">
        <v>0</v>
      </c>
      <c r="K30" s="94" t="b">
        <v>0</v>
      </c>
      <c r="L30" s="94" t="b">
        <v>0</v>
      </c>
    </row>
    <row r="31" spans="1:12" ht="15">
      <c r="A31" s="94" t="s">
        <v>417</v>
      </c>
      <c r="B31" s="94" t="s">
        <v>418</v>
      </c>
      <c r="C31" s="94">
        <v>4</v>
      </c>
      <c r="D31" s="125">
        <v>0</v>
      </c>
      <c r="E31" s="125">
        <v>1.278753600952829</v>
      </c>
      <c r="F31" s="94" t="s">
        <v>343</v>
      </c>
      <c r="G31" s="94" t="b">
        <v>0</v>
      </c>
      <c r="H31" s="94" t="b">
        <v>0</v>
      </c>
      <c r="I31" s="94" t="b">
        <v>0</v>
      </c>
      <c r="J31" s="94" t="b">
        <v>0</v>
      </c>
      <c r="K31" s="94" t="b">
        <v>0</v>
      </c>
      <c r="L31" s="94" t="b">
        <v>0</v>
      </c>
    </row>
    <row r="32" spans="1:12" ht="15">
      <c r="A32" s="94" t="s">
        <v>418</v>
      </c>
      <c r="B32" s="94" t="s">
        <v>369</v>
      </c>
      <c r="C32" s="94">
        <v>4</v>
      </c>
      <c r="D32" s="125">
        <v>0</v>
      </c>
      <c r="E32" s="125">
        <v>0.9777236052888478</v>
      </c>
      <c r="F32" s="94" t="s">
        <v>343</v>
      </c>
      <c r="G32" s="94" t="b">
        <v>0</v>
      </c>
      <c r="H32" s="94" t="b">
        <v>0</v>
      </c>
      <c r="I32" s="94" t="b">
        <v>0</v>
      </c>
      <c r="J32" s="94" t="b">
        <v>0</v>
      </c>
      <c r="K32" s="94" t="b">
        <v>0</v>
      </c>
      <c r="L32" s="94" t="b">
        <v>0</v>
      </c>
    </row>
    <row r="33" spans="1:12" ht="15">
      <c r="A33" s="94" t="s">
        <v>369</v>
      </c>
      <c r="B33" s="94" t="s">
        <v>419</v>
      </c>
      <c r="C33" s="94">
        <v>4</v>
      </c>
      <c r="D33" s="125">
        <v>0</v>
      </c>
      <c r="E33" s="125">
        <v>0.9777236052888478</v>
      </c>
      <c r="F33" s="94" t="s">
        <v>343</v>
      </c>
      <c r="G33" s="94" t="b">
        <v>0</v>
      </c>
      <c r="H33" s="94" t="b">
        <v>0</v>
      </c>
      <c r="I33" s="94" t="b">
        <v>0</v>
      </c>
      <c r="J33" s="94" t="b">
        <v>0</v>
      </c>
      <c r="K33" s="94" t="b">
        <v>0</v>
      </c>
      <c r="L33" s="94" t="b">
        <v>0</v>
      </c>
    </row>
    <row r="34" spans="1:12" ht="15">
      <c r="A34" s="94" t="s">
        <v>419</v>
      </c>
      <c r="B34" s="94" t="s">
        <v>420</v>
      </c>
      <c r="C34" s="94">
        <v>4</v>
      </c>
      <c r="D34" s="125">
        <v>0</v>
      </c>
      <c r="E34" s="125">
        <v>1.278753600952829</v>
      </c>
      <c r="F34" s="94" t="s">
        <v>343</v>
      </c>
      <c r="G34" s="94" t="b">
        <v>0</v>
      </c>
      <c r="H34" s="94" t="b">
        <v>0</v>
      </c>
      <c r="I34" s="94" t="b">
        <v>0</v>
      </c>
      <c r="J34" s="94" t="b">
        <v>0</v>
      </c>
      <c r="K34" s="94" t="b">
        <v>0</v>
      </c>
      <c r="L34" s="94" t="b">
        <v>0</v>
      </c>
    </row>
    <row r="35" spans="1:12" ht="15">
      <c r="A35" s="94" t="s">
        <v>420</v>
      </c>
      <c r="B35" s="94" t="s">
        <v>421</v>
      </c>
      <c r="C35" s="94">
        <v>4</v>
      </c>
      <c r="D35" s="125">
        <v>0</v>
      </c>
      <c r="E35" s="125">
        <v>1.278753600952829</v>
      </c>
      <c r="F35" s="94" t="s">
        <v>343</v>
      </c>
      <c r="G35" s="94" t="b">
        <v>0</v>
      </c>
      <c r="H35" s="94" t="b">
        <v>0</v>
      </c>
      <c r="I35" s="94" t="b">
        <v>0</v>
      </c>
      <c r="J35" s="94" t="b">
        <v>0</v>
      </c>
      <c r="K35" s="94" t="b">
        <v>0</v>
      </c>
      <c r="L35" s="94" t="b">
        <v>0</v>
      </c>
    </row>
    <row r="36" spans="1:12" ht="15">
      <c r="A36" s="94" t="s">
        <v>421</v>
      </c>
      <c r="B36" s="94" t="s">
        <v>422</v>
      </c>
      <c r="C36" s="94">
        <v>4</v>
      </c>
      <c r="D36" s="125">
        <v>0</v>
      </c>
      <c r="E36" s="125">
        <v>1.278753600952829</v>
      </c>
      <c r="F36" s="94" t="s">
        <v>343</v>
      </c>
      <c r="G36" s="94" t="b">
        <v>0</v>
      </c>
      <c r="H36" s="94" t="b">
        <v>0</v>
      </c>
      <c r="I36" s="94" t="b">
        <v>0</v>
      </c>
      <c r="J36" s="94" t="b">
        <v>0</v>
      </c>
      <c r="K36" s="94" t="b">
        <v>0</v>
      </c>
      <c r="L36" s="94" t="b">
        <v>0</v>
      </c>
    </row>
    <row r="37" spans="1:12" ht="15">
      <c r="A37" s="94" t="s">
        <v>422</v>
      </c>
      <c r="B37" s="94" t="s">
        <v>423</v>
      </c>
      <c r="C37" s="94">
        <v>4</v>
      </c>
      <c r="D37" s="125">
        <v>0</v>
      </c>
      <c r="E37" s="125">
        <v>1.278753600952829</v>
      </c>
      <c r="F37" s="94" t="s">
        <v>343</v>
      </c>
      <c r="G37" s="94" t="b">
        <v>0</v>
      </c>
      <c r="H37" s="94" t="b">
        <v>0</v>
      </c>
      <c r="I37" s="94" t="b">
        <v>0</v>
      </c>
      <c r="J37" s="94" t="b">
        <v>0</v>
      </c>
      <c r="K37" s="94" t="b">
        <v>0</v>
      </c>
      <c r="L37" s="94" t="b">
        <v>0</v>
      </c>
    </row>
    <row r="38" spans="1:12" ht="15">
      <c r="A38" s="94" t="s">
        <v>423</v>
      </c>
      <c r="B38" s="94" t="s">
        <v>424</v>
      </c>
      <c r="C38" s="94">
        <v>4</v>
      </c>
      <c r="D38" s="125">
        <v>0</v>
      </c>
      <c r="E38" s="125">
        <v>1.278753600952829</v>
      </c>
      <c r="F38" s="94" t="s">
        <v>343</v>
      </c>
      <c r="G38" s="94" t="b">
        <v>0</v>
      </c>
      <c r="H38" s="94" t="b">
        <v>0</v>
      </c>
      <c r="I38" s="94" t="b">
        <v>0</v>
      </c>
      <c r="J38" s="94" t="b">
        <v>0</v>
      </c>
      <c r="K38" s="94" t="b">
        <v>0</v>
      </c>
      <c r="L38" s="94" t="b">
        <v>0</v>
      </c>
    </row>
    <row r="39" spans="1:12" ht="15">
      <c r="A39" s="94" t="s">
        <v>424</v>
      </c>
      <c r="B39" s="94" t="s">
        <v>218</v>
      </c>
      <c r="C39" s="94">
        <v>4</v>
      </c>
      <c r="D39" s="125">
        <v>0</v>
      </c>
      <c r="E39" s="125">
        <v>1.278753600952829</v>
      </c>
      <c r="F39" s="94" t="s">
        <v>343</v>
      </c>
      <c r="G39" s="94" t="b">
        <v>0</v>
      </c>
      <c r="H39" s="94" t="b">
        <v>0</v>
      </c>
      <c r="I39" s="94" t="b">
        <v>0</v>
      </c>
      <c r="J39" s="94" t="b">
        <v>0</v>
      </c>
      <c r="K39" s="94" t="b">
        <v>0</v>
      </c>
      <c r="L39" s="9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topLeftCell="A1"/>
  </sheetViews>
  <sheetFormatPr defaultColWidth="9.140625" defaultRowHeight="15"/>
  <cols>
    <col min="1" max="1" width="10.00390625" style="0" customWidth="1"/>
    <col min="2" max="2" width="10.00390625" style="0" bestFit="1" customWidth="1"/>
    <col min="3" max="3" width="13.421875" style="0" bestFit="1" customWidth="1"/>
  </cols>
  <sheetData>
    <row r="1" ht="15">
      <c r="C1" s="35" t="s">
        <v>42</v>
      </c>
    </row>
    <row r="2" spans="1:3" ht="15" customHeight="1">
      <c r="A2" s="13" t="s">
        <v>451</v>
      </c>
      <c r="B2" s="128" t="s">
        <v>452</v>
      </c>
      <c r="C2" s="68" t="s">
        <v>453</v>
      </c>
    </row>
    <row r="3" spans="1:3" ht="15">
      <c r="A3" s="127" t="s">
        <v>343</v>
      </c>
      <c r="B3" s="127" t="s">
        <v>343</v>
      </c>
      <c r="C3" s="36">
        <v>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421875" style="0" bestFit="1" customWidth="1"/>
    <col min="2" max="2" width="8.28125" style="0" bestFit="1" customWidth="1"/>
  </cols>
  <sheetData>
    <row r="1" spans="1:2" ht="15" customHeight="1">
      <c r="A1" s="13" t="s">
        <v>467</v>
      </c>
      <c r="B1" s="13" t="s">
        <v>17</v>
      </c>
    </row>
    <row r="2" spans="1:2" ht="15">
      <c r="A2" s="86" t="s">
        <v>468</v>
      </c>
      <c r="B2" s="86" t="s">
        <v>474</v>
      </c>
    </row>
    <row r="3" spans="1:2" ht="15">
      <c r="A3" s="86" t="s">
        <v>469</v>
      </c>
      <c r="B3" s="86" t="s">
        <v>475</v>
      </c>
    </row>
    <row r="4" spans="1:2" ht="15">
      <c r="A4" s="86" t="s">
        <v>470</v>
      </c>
      <c r="B4" s="86" t="s">
        <v>476</v>
      </c>
    </row>
    <row r="5" spans="1:2" ht="15">
      <c r="A5" s="86" t="s">
        <v>471</v>
      </c>
      <c r="B5" s="86" t="s">
        <v>477</v>
      </c>
    </row>
    <row r="6" spans="1:2" ht="15">
      <c r="A6" s="86" t="s">
        <v>472</v>
      </c>
      <c r="B6" s="86" t="s">
        <v>478</v>
      </c>
    </row>
    <row r="7" spans="1:2" ht="15">
      <c r="A7" s="86" t="s">
        <v>473</v>
      </c>
      <c r="B7" s="86" t="s">
        <v>475</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workbookViewId="0" topLeftCell="A1"/>
  </sheetViews>
  <sheetFormatPr defaultColWidth="9.140625" defaultRowHeight="15"/>
  <cols>
    <col min="1" max="1" width="49.57421875" style="0" bestFit="1" customWidth="1"/>
    <col min="2" max="2" width="24.7109375" style="0" bestFit="1" customWidth="1"/>
  </cols>
  <sheetData>
    <row r="1" spans="1:2" ht="15" customHeight="1">
      <c r="A1" s="13" t="s">
        <v>479</v>
      </c>
      <c r="B1" s="13" t="s">
        <v>34</v>
      </c>
    </row>
    <row r="2" spans="1:2" ht="15">
      <c r="A2" s="120" t="s">
        <v>216</v>
      </c>
      <c r="B2" s="86">
        <v>3</v>
      </c>
    </row>
    <row r="3" spans="1:2" ht="15">
      <c r="A3" s="120" t="s">
        <v>218</v>
      </c>
      <c r="B3" s="86">
        <v>3</v>
      </c>
    </row>
    <row r="4" spans="1:2" ht="15">
      <c r="A4" s="120" t="s">
        <v>217</v>
      </c>
      <c r="B4" s="86">
        <v>0</v>
      </c>
    </row>
    <row r="5" spans="1:2" ht="15">
      <c r="A5" s="120" t="s">
        <v>215</v>
      </c>
      <c r="B5" s="86">
        <v>0</v>
      </c>
    </row>
    <row r="6" spans="1:2" ht="15">
      <c r="A6" s="120" t="s">
        <v>214</v>
      </c>
      <c r="B6" s="86">
        <v>0</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7"/>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421875" style="3" customWidth="1"/>
    <col min="32" max="32" width="11.421875" style="3" customWidth="1"/>
    <col min="33" max="33" width="11.8515625" style="3" customWidth="1"/>
    <col min="34" max="34" width="9.57421875" style="3" customWidth="1"/>
    <col min="35" max="35" width="11.28125" style="0" customWidth="1"/>
    <col min="36" max="36" width="18.00390625" style="0" customWidth="1"/>
    <col min="37" max="37" width="13.28125" style="0" customWidth="1"/>
    <col min="38" max="38" width="10.57421875" style="0" customWidth="1"/>
    <col min="39" max="39" width="7.28125" style="0" customWidth="1"/>
    <col min="40" max="40" width="7.57421875" style="0" customWidth="1"/>
    <col min="41" max="41" width="16.00390625" style="0" customWidth="1"/>
    <col min="42" max="42" width="12.421875" style="0" customWidth="1"/>
    <col min="43" max="43" width="9.7109375" style="0" customWidth="1"/>
    <col min="44" max="44" width="16.28125" style="0" customWidth="1"/>
    <col min="45" max="45" width="10.28125" style="0" customWidth="1"/>
    <col min="46" max="46" width="11.421875" style="0" customWidth="1"/>
    <col min="47" max="47" width="8.421875" style="0" customWidth="1"/>
    <col min="48" max="48" width="20.140625" style="0" customWidth="1"/>
    <col min="49" max="49" width="10.421875" style="0" customWidth="1"/>
    <col min="50" max="51" width="15.57421875" style="0" customWidth="1"/>
    <col min="52" max="52" width="15.00390625" style="0" customWidth="1"/>
    <col min="53" max="53" width="9.140625" style="0" customWidth="1"/>
    <col min="54" max="54" width="17.140625" style="0" customWidth="1"/>
    <col min="55" max="55" width="19.421875" style="0" customWidth="1"/>
    <col min="56" max="56" width="17.140625" style="0" customWidth="1"/>
    <col min="57" max="57" width="19.421875" style="0" customWidth="1"/>
    <col min="58" max="58" width="17.140625" style="0" customWidth="1"/>
    <col min="59" max="59" width="19.421875" style="0" customWidth="1"/>
    <col min="60" max="60" width="17.140625" style="0" customWidth="1"/>
    <col min="61" max="61" width="19.421875" style="0" customWidth="1"/>
    <col min="62" max="62" width="18.7109375" style="0" customWidth="1"/>
    <col min="63" max="63" width="19.421875" style="0" customWidth="1"/>
    <col min="64" max="64" width="21.57421875" style="0" customWidth="1"/>
    <col min="65" max="65" width="26.8515625" style="0" customWidth="1"/>
    <col min="66" max="66" width="22.421875" style="0" customWidth="1"/>
    <col min="67" max="67" width="27.8515625" style="0" customWidth="1"/>
    <col min="68" max="68" width="27.140625" style="0" customWidth="1"/>
    <col min="69" max="69" width="32.57421875" style="0" customWidth="1"/>
    <col min="70" max="70" width="18.00390625" style="0" customWidth="1"/>
    <col min="71" max="71" width="22.140625" style="0" customWidth="1"/>
    <col min="72" max="72" width="16.8515625" style="0" customWidth="1"/>
  </cols>
  <sheetData>
    <row r="1" spans="2:34" ht="15">
      <c r="B1" s="1"/>
      <c r="C1" s="25" t="s">
        <v>39</v>
      </c>
      <c r="D1" s="18"/>
      <c r="E1" s="18"/>
      <c r="F1" s="18"/>
      <c r="G1" s="18"/>
      <c r="H1" s="18"/>
      <c r="I1" s="27" t="s">
        <v>43</v>
      </c>
      <c r="J1" s="26"/>
      <c r="K1" s="26"/>
      <c r="L1" s="26"/>
      <c r="M1" s="29" t="s">
        <v>44</v>
      </c>
      <c r="N1" s="28"/>
      <c r="O1" s="28"/>
      <c r="P1" s="28"/>
      <c r="Q1" s="28"/>
      <c r="R1" s="28"/>
      <c r="S1" s="24" t="s">
        <v>42</v>
      </c>
      <c r="T1" s="21"/>
      <c r="U1" s="22"/>
      <c r="V1" s="23"/>
      <c r="W1" s="21"/>
      <c r="X1" s="21"/>
      <c r="Y1" s="21"/>
      <c r="Z1" s="21"/>
      <c r="AA1" s="21"/>
      <c r="AB1" s="30" t="s">
        <v>40</v>
      </c>
      <c r="AC1" s="20"/>
      <c r="AD1" s="31" t="s">
        <v>41</v>
      </c>
      <c r="AE1"/>
      <c r="AF1"/>
      <c r="AG1"/>
      <c r="AH1"/>
    </row>
    <row r="2" spans="1:74" ht="30" customHeight="1">
      <c r="A2" s="11" t="s">
        <v>5</v>
      </c>
      <c r="B2" t="s">
        <v>484</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244</v>
      </c>
      <c r="AF2" s="13" t="s">
        <v>245</v>
      </c>
      <c r="AG2" s="13" t="s">
        <v>246</v>
      </c>
      <c r="AH2" s="13" t="s">
        <v>247</v>
      </c>
      <c r="AI2" s="13" t="s">
        <v>248</v>
      </c>
      <c r="AJ2" s="13" t="s">
        <v>249</v>
      </c>
      <c r="AK2" s="13" t="s">
        <v>250</v>
      </c>
      <c r="AL2" s="13" t="s">
        <v>251</v>
      </c>
      <c r="AM2" s="13" t="s">
        <v>252</v>
      </c>
      <c r="AN2" s="13" t="s">
        <v>253</v>
      </c>
      <c r="AO2" s="13" t="s">
        <v>254</v>
      </c>
      <c r="AP2" s="13" t="s">
        <v>255</v>
      </c>
      <c r="AQ2" s="13" t="s">
        <v>256</v>
      </c>
      <c r="AR2" s="13" t="s">
        <v>257</v>
      </c>
      <c r="AS2" s="13" t="s">
        <v>258</v>
      </c>
      <c r="AT2" s="13" t="s">
        <v>194</v>
      </c>
      <c r="AU2" s="13" t="s">
        <v>259</v>
      </c>
      <c r="AV2" s="13" t="s">
        <v>260</v>
      </c>
      <c r="AW2" s="13" t="s">
        <v>261</v>
      </c>
      <c r="AX2" s="13" t="s">
        <v>262</v>
      </c>
      <c r="AY2" s="13" t="s">
        <v>263</v>
      </c>
      <c r="AZ2" s="13" t="s">
        <v>264</v>
      </c>
      <c r="BA2" s="13" t="s">
        <v>345</v>
      </c>
      <c r="BB2" s="122" t="s">
        <v>406</v>
      </c>
      <c r="BC2" s="122" t="s">
        <v>407</v>
      </c>
      <c r="BD2" s="122" t="s">
        <v>408</v>
      </c>
      <c r="BE2" s="122" t="s">
        <v>409</v>
      </c>
      <c r="BF2" s="122" t="s">
        <v>410</v>
      </c>
      <c r="BG2" s="122" t="s">
        <v>411</v>
      </c>
      <c r="BH2" s="122" t="s">
        <v>412</v>
      </c>
      <c r="BI2" s="122" t="s">
        <v>413</v>
      </c>
      <c r="BJ2" s="122" t="s">
        <v>414</v>
      </c>
      <c r="BK2" s="122" t="s">
        <v>415</v>
      </c>
      <c r="BL2" s="122" t="s">
        <v>440</v>
      </c>
      <c r="BM2" s="122" t="s">
        <v>441</v>
      </c>
      <c r="BN2" s="122" t="s">
        <v>442</v>
      </c>
      <c r="BO2" s="122" t="s">
        <v>443</v>
      </c>
      <c r="BP2" s="122" t="s">
        <v>444</v>
      </c>
      <c r="BQ2" s="122" t="s">
        <v>445</v>
      </c>
      <c r="BR2" s="122" t="s">
        <v>446</v>
      </c>
      <c r="BS2" s="122" t="s">
        <v>447</v>
      </c>
      <c r="BT2" s="122" t="s">
        <v>449</v>
      </c>
      <c r="BU2" s="3"/>
      <c r="BV2" s="3"/>
    </row>
    <row r="3" spans="1:74" ht="41.45" customHeight="1">
      <c r="A3" s="50" t="s">
        <v>214</v>
      </c>
      <c r="C3" s="53"/>
      <c r="D3" s="53" t="s">
        <v>64</v>
      </c>
      <c r="E3" s="54">
        <v>1000</v>
      </c>
      <c r="F3" s="55">
        <v>96.61209202782237</v>
      </c>
      <c r="G3" s="115" t="s">
        <v>225</v>
      </c>
      <c r="H3" s="53"/>
      <c r="I3" s="57" t="s">
        <v>214</v>
      </c>
      <c r="J3" s="56"/>
      <c r="K3" s="56"/>
      <c r="L3" s="117" t="s">
        <v>299</v>
      </c>
      <c r="M3" s="59">
        <v>1130.0767968610664</v>
      </c>
      <c r="N3" s="60">
        <v>9388.2744140625</v>
      </c>
      <c r="O3" s="60">
        <v>2981.86376953125</v>
      </c>
      <c r="P3" s="58"/>
      <c r="Q3" s="61"/>
      <c r="R3" s="61"/>
      <c r="S3" s="51"/>
      <c r="T3" s="51">
        <v>0</v>
      </c>
      <c r="U3" s="51">
        <v>2</v>
      </c>
      <c r="V3" s="52">
        <v>0</v>
      </c>
      <c r="W3" s="52">
        <v>0.166667</v>
      </c>
      <c r="X3" s="52">
        <v>0.166667</v>
      </c>
      <c r="Y3" s="52">
        <v>0.740383</v>
      </c>
      <c r="Z3" s="52">
        <v>0.5</v>
      </c>
      <c r="AA3" s="52">
        <v>0</v>
      </c>
      <c r="AB3" s="62">
        <v>3</v>
      </c>
      <c r="AC3" s="62"/>
      <c r="AD3" s="63"/>
      <c r="AE3" s="86" t="s">
        <v>265</v>
      </c>
      <c r="AF3" s="86">
        <v>900</v>
      </c>
      <c r="AG3" s="86">
        <v>3246</v>
      </c>
      <c r="AH3" s="86">
        <v>11014</v>
      </c>
      <c r="AI3" s="86">
        <v>1444</v>
      </c>
      <c r="AJ3" s="86"/>
      <c r="AK3" s="86" t="s">
        <v>270</v>
      </c>
      <c r="AL3" s="86" t="s">
        <v>275</v>
      </c>
      <c r="AM3" s="91" t="s">
        <v>280</v>
      </c>
      <c r="AN3" s="86"/>
      <c r="AO3" s="88">
        <v>41376.70628472222</v>
      </c>
      <c r="AP3" s="91" t="s">
        <v>284</v>
      </c>
      <c r="AQ3" s="86" t="b">
        <v>0</v>
      </c>
      <c r="AR3" s="86" t="b">
        <v>0</v>
      </c>
      <c r="AS3" s="86" t="b">
        <v>0</v>
      </c>
      <c r="AT3" s="86"/>
      <c r="AU3" s="86">
        <v>129</v>
      </c>
      <c r="AV3" s="91" t="s">
        <v>289</v>
      </c>
      <c r="AW3" s="86" t="b">
        <v>0</v>
      </c>
      <c r="AX3" s="86" t="s">
        <v>293</v>
      </c>
      <c r="AY3" s="91" t="s">
        <v>294</v>
      </c>
      <c r="AZ3" s="86" t="s">
        <v>66</v>
      </c>
      <c r="BA3" s="86" t="str">
        <f>REPLACE(INDEX(GroupVertices[Group],MATCH(Vertices[[#This Row],[Vertex]],GroupVertices[Vertex],0)),1,1,"")</f>
        <v>1</v>
      </c>
      <c r="BB3" s="51"/>
      <c r="BC3" s="51"/>
      <c r="BD3" s="51"/>
      <c r="BE3" s="51"/>
      <c r="BF3" s="51" t="s">
        <v>222</v>
      </c>
      <c r="BG3" s="51" t="s">
        <v>222</v>
      </c>
      <c r="BH3" s="123" t="s">
        <v>381</v>
      </c>
      <c r="BI3" s="123" t="s">
        <v>381</v>
      </c>
      <c r="BJ3" s="123" t="s">
        <v>395</v>
      </c>
      <c r="BK3" s="123" t="s">
        <v>395</v>
      </c>
      <c r="BL3" s="123">
        <v>1</v>
      </c>
      <c r="BM3" s="126">
        <v>3.8461538461538463</v>
      </c>
      <c r="BN3" s="123">
        <v>0</v>
      </c>
      <c r="BO3" s="126">
        <v>0</v>
      </c>
      <c r="BP3" s="123">
        <v>0</v>
      </c>
      <c r="BQ3" s="126">
        <v>0</v>
      </c>
      <c r="BR3" s="123">
        <v>25</v>
      </c>
      <c r="BS3" s="126">
        <v>96.15384615384616</v>
      </c>
      <c r="BT3" s="123">
        <v>26</v>
      </c>
      <c r="BU3" s="3"/>
      <c r="BV3" s="3"/>
    </row>
    <row r="4" spans="1:77" ht="41.45" customHeight="1">
      <c r="A4" s="14" t="s">
        <v>216</v>
      </c>
      <c r="C4" s="15"/>
      <c r="D4" s="15" t="s">
        <v>64</v>
      </c>
      <c r="E4" s="96">
        <v>188.20404295641188</v>
      </c>
      <c r="F4" s="82">
        <v>99.89406099518459</v>
      </c>
      <c r="G4" s="115" t="s">
        <v>291</v>
      </c>
      <c r="H4" s="15"/>
      <c r="I4" s="16" t="s">
        <v>216</v>
      </c>
      <c r="J4" s="67"/>
      <c r="K4" s="67"/>
      <c r="L4" s="117" t="s">
        <v>300</v>
      </c>
      <c r="M4" s="97">
        <v>36.30593900481541</v>
      </c>
      <c r="N4" s="98">
        <v>5473.8974609375</v>
      </c>
      <c r="O4" s="98">
        <v>5320.1240234375</v>
      </c>
      <c r="P4" s="78"/>
      <c r="Q4" s="99"/>
      <c r="R4" s="99"/>
      <c r="S4" s="100"/>
      <c r="T4" s="51">
        <v>3</v>
      </c>
      <c r="U4" s="51">
        <v>1</v>
      </c>
      <c r="V4" s="52">
        <v>3</v>
      </c>
      <c r="W4" s="52">
        <v>0.25</v>
      </c>
      <c r="X4" s="52">
        <v>0.25</v>
      </c>
      <c r="Y4" s="52">
        <v>1.389163</v>
      </c>
      <c r="Z4" s="52">
        <v>0.25</v>
      </c>
      <c r="AA4" s="52">
        <v>0</v>
      </c>
      <c r="AB4" s="83">
        <v>4</v>
      </c>
      <c r="AC4" s="83"/>
      <c r="AD4" s="101"/>
      <c r="AE4" s="86" t="s">
        <v>266</v>
      </c>
      <c r="AF4" s="86">
        <v>230</v>
      </c>
      <c r="AG4" s="86">
        <v>179</v>
      </c>
      <c r="AH4" s="86">
        <v>396</v>
      </c>
      <c r="AI4" s="86">
        <v>1389</v>
      </c>
      <c r="AJ4" s="86"/>
      <c r="AK4" s="86" t="s">
        <v>271</v>
      </c>
      <c r="AL4" s="86" t="s">
        <v>276</v>
      </c>
      <c r="AM4" s="91" t="s">
        <v>281</v>
      </c>
      <c r="AN4" s="86"/>
      <c r="AO4" s="88">
        <v>42432.44568287037</v>
      </c>
      <c r="AP4" s="91" t="s">
        <v>285</v>
      </c>
      <c r="AQ4" s="86" t="b">
        <v>1</v>
      </c>
      <c r="AR4" s="86" t="b">
        <v>0</v>
      </c>
      <c r="AS4" s="86" t="b">
        <v>0</v>
      </c>
      <c r="AT4" s="86"/>
      <c r="AU4" s="86">
        <v>10</v>
      </c>
      <c r="AV4" s="86"/>
      <c r="AW4" s="86" t="b">
        <v>0</v>
      </c>
      <c r="AX4" s="86" t="s">
        <v>293</v>
      </c>
      <c r="AY4" s="91" t="s">
        <v>295</v>
      </c>
      <c r="AZ4" s="86" t="s">
        <v>66</v>
      </c>
      <c r="BA4" s="86" t="str">
        <f>REPLACE(INDEX(GroupVertices[Group],MATCH(Vertices[[#This Row],[Vertex]],GroupVertices[Vertex],0)),1,1,"")</f>
        <v>1</v>
      </c>
      <c r="BB4" s="51"/>
      <c r="BC4" s="51"/>
      <c r="BD4" s="51"/>
      <c r="BE4" s="51"/>
      <c r="BF4" s="51" t="s">
        <v>223</v>
      </c>
      <c r="BG4" s="51" t="s">
        <v>223</v>
      </c>
      <c r="BH4" s="123" t="s">
        <v>381</v>
      </c>
      <c r="BI4" s="123" t="s">
        <v>381</v>
      </c>
      <c r="BJ4" s="123" t="s">
        <v>395</v>
      </c>
      <c r="BK4" s="123" t="s">
        <v>395</v>
      </c>
      <c r="BL4" s="123">
        <v>1</v>
      </c>
      <c r="BM4" s="126">
        <v>3.8461538461538463</v>
      </c>
      <c r="BN4" s="123">
        <v>0</v>
      </c>
      <c r="BO4" s="126">
        <v>0</v>
      </c>
      <c r="BP4" s="123">
        <v>0</v>
      </c>
      <c r="BQ4" s="126">
        <v>0</v>
      </c>
      <c r="BR4" s="123">
        <v>25</v>
      </c>
      <c r="BS4" s="126">
        <v>96.15384615384616</v>
      </c>
      <c r="BT4" s="123">
        <v>26</v>
      </c>
      <c r="BU4" s="2"/>
      <c r="BV4" s="3"/>
      <c r="BW4" s="3"/>
      <c r="BX4" s="3"/>
      <c r="BY4" s="3"/>
    </row>
    <row r="5" spans="1:77" ht="41.45" customHeight="1">
      <c r="A5" s="14" t="s">
        <v>218</v>
      </c>
      <c r="C5" s="15"/>
      <c r="D5" s="15" t="s">
        <v>64</v>
      </c>
      <c r="E5" s="96">
        <v>299.37271004421984</v>
      </c>
      <c r="F5" s="82">
        <v>99.4446227929374</v>
      </c>
      <c r="G5" s="115" t="s">
        <v>292</v>
      </c>
      <c r="H5" s="15"/>
      <c r="I5" s="16" t="s">
        <v>218</v>
      </c>
      <c r="J5" s="67"/>
      <c r="K5" s="67"/>
      <c r="L5" s="117" t="s">
        <v>301</v>
      </c>
      <c r="M5" s="97">
        <v>186.08871054039594</v>
      </c>
      <c r="N5" s="98">
        <v>1915.197509765625</v>
      </c>
      <c r="O5" s="98">
        <v>4397.19287109375</v>
      </c>
      <c r="P5" s="78"/>
      <c r="Q5" s="99"/>
      <c r="R5" s="99"/>
      <c r="S5" s="100"/>
      <c r="T5" s="51">
        <v>4</v>
      </c>
      <c r="U5" s="51">
        <v>0</v>
      </c>
      <c r="V5" s="52">
        <v>3</v>
      </c>
      <c r="W5" s="52">
        <v>0.25</v>
      </c>
      <c r="X5" s="52">
        <v>0.25</v>
      </c>
      <c r="Y5" s="52">
        <v>1.389163</v>
      </c>
      <c r="Z5" s="52">
        <v>0.25</v>
      </c>
      <c r="AA5" s="52">
        <v>0</v>
      </c>
      <c r="AB5" s="83">
        <v>5</v>
      </c>
      <c r="AC5" s="83"/>
      <c r="AD5" s="101"/>
      <c r="AE5" s="86" t="s">
        <v>267</v>
      </c>
      <c r="AF5" s="86">
        <v>1142</v>
      </c>
      <c r="AG5" s="86">
        <v>599</v>
      </c>
      <c r="AH5" s="86">
        <v>2906</v>
      </c>
      <c r="AI5" s="86">
        <v>2080</v>
      </c>
      <c r="AJ5" s="86"/>
      <c r="AK5" s="86" t="s">
        <v>272</v>
      </c>
      <c r="AL5" s="86" t="s">
        <v>277</v>
      </c>
      <c r="AM5" s="91" t="s">
        <v>282</v>
      </c>
      <c r="AN5" s="86"/>
      <c r="AO5" s="88">
        <v>40183.97163194444</v>
      </c>
      <c r="AP5" s="91" t="s">
        <v>286</v>
      </c>
      <c r="AQ5" s="86" t="b">
        <v>1</v>
      </c>
      <c r="AR5" s="86" t="b">
        <v>0</v>
      </c>
      <c r="AS5" s="86" t="b">
        <v>1</v>
      </c>
      <c r="AT5" s="86"/>
      <c r="AU5" s="86">
        <v>20</v>
      </c>
      <c r="AV5" s="91" t="s">
        <v>290</v>
      </c>
      <c r="AW5" s="86" t="b">
        <v>0</v>
      </c>
      <c r="AX5" s="86" t="s">
        <v>293</v>
      </c>
      <c r="AY5" s="91" t="s">
        <v>296</v>
      </c>
      <c r="AZ5" s="86" t="s">
        <v>65</v>
      </c>
      <c r="BA5" s="86" t="str">
        <f>REPLACE(INDEX(GroupVertices[Group],MATCH(Vertices[[#This Row],[Vertex]],GroupVertices[Vertex],0)),1,1,"")</f>
        <v>1</v>
      </c>
      <c r="BB5" s="51"/>
      <c r="BC5" s="51"/>
      <c r="BD5" s="51"/>
      <c r="BE5" s="51"/>
      <c r="BF5" s="51"/>
      <c r="BG5" s="51"/>
      <c r="BH5" s="51"/>
      <c r="BI5" s="51"/>
      <c r="BJ5" s="51"/>
      <c r="BK5" s="51"/>
      <c r="BL5" s="51"/>
      <c r="BM5" s="52"/>
      <c r="BN5" s="51"/>
      <c r="BO5" s="52"/>
      <c r="BP5" s="51"/>
      <c r="BQ5" s="52"/>
      <c r="BR5" s="51"/>
      <c r="BS5" s="52"/>
      <c r="BT5" s="51"/>
      <c r="BU5" s="2"/>
      <c r="BV5" s="3"/>
      <c r="BW5" s="3"/>
      <c r="BX5" s="3"/>
      <c r="BY5" s="3"/>
    </row>
    <row r="6" spans="1:77" ht="41.45" customHeight="1">
      <c r="A6" s="14" t="s">
        <v>215</v>
      </c>
      <c r="C6" s="15"/>
      <c r="D6" s="15" t="s">
        <v>64</v>
      </c>
      <c r="E6" s="96">
        <v>1000</v>
      </c>
      <c r="F6" s="82">
        <v>70</v>
      </c>
      <c r="G6" s="115" t="s">
        <v>226</v>
      </c>
      <c r="H6" s="15"/>
      <c r="I6" s="16" t="s">
        <v>215</v>
      </c>
      <c r="J6" s="67"/>
      <c r="K6" s="67"/>
      <c r="L6" s="117" t="s">
        <v>302</v>
      </c>
      <c r="M6" s="97">
        <v>9999</v>
      </c>
      <c r="N6" s="98">
        <v>1809.934814453125</v>
      </c>
      <c r="O6" s="98">
        <v>8893.228515625</v>
      </c>
      <c r="P6" s="78"/>
      <c r="Q6" s="99"/>
      <c r="R6" s="99"/>
      <c r="S6" s="100"/>
      <c r="T6" s="51">
        <v>0</v>
      </c>
      <c r="U6" s="51">
        <v>2</v>
      </c>
      <c r="V6" s="52">
        <v>0</v>
      </c>
      <c r="W6" s="52">
        <v>0.166667</v>
      </c>
      <c r="X6" s="52">
        <v>0.166667</v>
      </c>
      <c r="Y6" s="52">
        <v>0.740383</v>
      </c>
      <c r="Z6" s="52">
        <v>0.5</v>
      </c>
      <c r="AA6" s="52">
        <v>0</v>
      </c>
      <c r="AB6" s="83">
        <v>6</v>
      </c>
      <c r="AC6" s="83"/>
      <c r="AD6" s="101"/>
      <c r="AE6" s="86" t="s">
        <v>268</v>
      </c>
      <c r="AF6" s="86">
        <v>3178</v>
      </c>
      <c r="AG6" s="86">
        <v>28115</v>
      </c>
      <c r="AH6" s="86">
        <v>118086</v>
      </c>
      <c r="AI6" s="86">
        <v>37947</v>
      </c>
      <c r="AJ6" s="86"/>
      <c r="AK6" s="86" t="s">
        <v>273</v>
      </c>
      <c r="AL6" s="86" t="s">
        <v>278</v>
      </c>
      <c r="AM6" s="91" t="s">
        <v>283</v>
      </c>
      <c r="AN6" s="86"/>
      <c r="AO6" s="88">
        <v>40113.25722222222</v>
      </c>
      <c r="AP6" s="91" t="s">
        <v>287</v>
      </c>
      <c r="AQ6" s="86" t="b">
        <v>1</v>
      </c>
      <c r="AR6" s="86" t="b">
        <v>0</v>
      </c>
      <c r="AS6" s="86" t="b">
        <v>0</v>
      </c>
      <c r="AT6" s="86"/>
      <c r="AU6" s="86">
        <v>4581</v>
      </c>
      <c r="AV6" s="91" t="s">
        <v>290</v>
      </c>
      <c r="AW6" s="86" t="b">
        <v>0</v>
      </c>
      <c r="AX6" s="86" t="s">
        <v>293</v>
      </c>
      <c r="AY6" s="91" t="s">
        <v>297</v>
      </c>
      <c r="AZ6" s="86" t="s">
        <v>66</v>
      </c>
      <c r="BA6" s="86" t="str">
        <f>REPLACE(INDEX(GroupVertices[Group],MATCH(Vertices[[#This Row],[Vertex]],GroupVertices[Vertex],0)),1,1,"")</f>
        <v>1</v>
      </c>
      <c r="BB6" s="51"/>
      <c r="BC6" s="51"/>
      <c r="BD6" s="51"/>
      <c r="BE6" s="51"/>
      <c r="BF6" s="51" t="s">
        <v>222</v>
      </c>
      <c r="BG6" s="51" t="s">
        <v>222</v>
      </c>
      <c r="BH6" s="123" t="s">
        <v>381</v>
      </c>
      <c r="BI6" s="123" t="s">
        <v>381</v>
      </c>
      <c r="BJ6" s="123" t="s">
        <v>395</v>
      </c>
      <c r="BK6" s="123" t="s">
        <v>395</v>
      </c>
      <c r="BL6" s="123">
        <v>1</v>
      </c>
      <c r="BM6" s="126">
        <v>3.8461538461538463</v>
      </c>
      <c r="BN6" s="123">
        <v>0</v>
      </c>
      <c r="BO6" s="126">
        <v>0</v>
      </c>
      <c r="BP6" s="123">
        <v>0</v>
      </c>
      <c r="BQ6" s="126">
        <v>0</v>
      </c>
      <c r="BR6" s="123">
        <v>25</v>
      </c>
      <c r="BS6" s="126">
        <v>96.15384615384616</v>
      </c>
      <c r="BT6" s="123">
        <v>26</v>
      </c>
      <c r="BU6" s="2"/>
      <c r="BV6" s="3"/>
      <c r="BW6" s="3"/>
      <c r="BX6" s="3"/>
      <c r="BY6" s="3"/>
    </row>
    <row r="7" spans="1:77" ht="41.45" customHeight="1">
      <c r="A7" s="102" t="s">
        <v>217</v>
      </c>
      <c r="C7" s="103"/>
      <c r="D7" s="103" t="s">
        <v>64</v>
      </c>
      <c r="E7" s="104">
        <v>162</v>
      </c>
      <c r="F7" s="105">
        <v>100</v>
      </c>
      <c r="G7" s="116" t="s">
        <v>227</v>
      </c>
      <c r="H7" s="103"/>
      <c r="I7" s="106" t="s">
        <v>217</v>
      </c>
      <c r="J7" s="107"/>
      <c r="K7" s="107"/>
      <c r="L7" s="118" t="s">
        <v>303</v>
      </c>
      <c r="M7" s="108">
        <v>1</v>
      </c>
      <c r="N7" s="109">
        <v>302.1140441894531</v>
      </c>
      <c r="O7" s="109">
        <v>547.0040893554688</v>
      </c>
      <c r="P7" s="110"/>
      <c r="Q7" s="111"/>
      <c r="R7" s="111"/>
      <c r="S7" s="112"/>
      <c r="T7" s="51">
        <v>0</v>
      </c>
      <c r="U7" s="51">
        <v>2</v>
      </c>
      <c r="V7" s="52">
        <v>0</v>
      </c>
      <c r="W7" s="52">
        <v>0.166667</v>
      </c>
      <c r="X7" s="52">
        <v>0.166667</v>
      </c>
      <c r="Y7" s="52">
        <v>0.740383</v>
      </c>
      <c r="Z7" s="52">
        <v>0.5</v>
      </c>
      <c r="AA7" s="52">
        <v>0</v>
      </c>
      <c r="AB7" s="113">
        <v>7</v>
      </c>
      <c r="AC7" s="113"/>
      <c r="AD7" s="114"/>
      <c r="AE7" s="86" t="s">
        <v>269</v>
      </c>
      <c r="AF7" s="86">
        <v>148</v>
      </c>
      <c r="AG7" s="86">
        <v>80</v>
      </c>
      <c r="AH7" s="86">
        <v>3051</v>
      </c>
      <c r="AI7" s="86">
        <v>1504</v>
      </c>
      <c r="AJ7" s="86"/>
      <c r="AK7" s="86" t="s">
        <v>274</v>
      </c>
      <c r="AL7" s="86" t="s">
        <v>279</v>
      </c>
      <c r="AM7" s="86"/>
      <c r="AN7" s="86"/>
      <c r="AO7" s="88">
        <v>43381.343680555554</v>
      </c>
      <c r="AP7" s="91" t="s">
        <v>288</v>
      </c>
      <c r="AQ7" s="86" t="b">
        <v>1</v>
      </c>
      <c r="AR7" s="86" t="b">
        <v>0</v>
      </c>
      <c r="AS7" s="86" t="b">
        <v>0</v>
      </c>
      <c r="AT7" s="86"/>
      <c r="AU7" s="86">
        <v>6</v>
      </c>
      <c r="AV7" s="86"/>
      <c r="AW7" s="86" t="b">
        <v>0</v>
      </c>
      <c r="AX7" s="86" t="s">
        <v>293</v>
      </c>
      <c r="AY7" s="91" t="s">
        <v>298</v>
      </c>
      <c r="AZ7" s="86" t="s">
        <v>66</v>
      </c>
      <c r="BA7" s="86" t="str">
        <f>REPLACE(INDEX(GroupVertices[Group],MATCH(Vertices[[#This Row],[Vertex]],GroupVertices[Vertex],0)),1,1,"")</f>
        <v>1</v>
      </c>
      <c r="BB7" s="51"/>
      <c r="BC7" s="51"/>
      <c r="BD7" s="51"/>
      <c r="BE7" s="51"/>
      <c r="BF7" s="51" t="s">
        <v>222</v>
      </c>
      <c r="BG7" s="51" t="s">
        <v>222</v>
      </c>
      <c r="BH7" s="123" t="s">
        <v>381</v>
      </c>
      <c r="BI7" s="123" t="s">
        <v>381</v>
      </c>
      <c r="BJ7" s="123" t="s">
        <v>395</v>
      </c>
      <c r="BK7" s="123" t="s">
        <v>395</v>
      </c>
      <c r="BL7" s="123">
        <v>1</v>
      </c>
      <c r="BM7" s="126">
        <v>3.8461538461538463</v>
      </c>
      <c r="BN7" s="123">
        <v>0</v>
      </c>
      <c r="BO7" s="126">
        <v>0</v>
      </c>
      <c r="BP7" s="123">
        <v>0</v>
      </c>
      <c r="BQ7" s="126">
        <v>0</v>
      </c>
      <c r="BR7" s="123">
        <v>25</v>
      </c>
      <c r="BS7" s="126">
        <v>96.15384615384616</v>
      </c>
      <c r="BT7" s="123">
        <v>26</v>
      </c>
      <c r="BU7" s="2"/>
      <c r="BV7" s="3"/>
      <c r="BW7" s="3"/>
      <c r="BX7" s="3"/>
      <c r="BY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7"/>
    <dataValidation allowBlank="1" showInputMessage="1" promptTitle="Vertex Tooltip" prompt="Enter optional text that will pop up when the mouse is hovered over the vertex." errorTitle="Invalid Vertex Image Key" sqref="L3:L7"/>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7"/>
    <dataValidation allowBlank="1" showInputMessage="1" promptTitle="Vertex Label Fill Color" prompt="To select an optional fill color for the Label shape, right-click and select Select Color on the right-click menu." sqref="J3:J7"/>
    <dataValidation allowBlank="1" showInputMessage="1" promptTitle="Vertex Image File" prompt="Enter the path to an image file.  Hover over the column header for examples." errorTitle="Invalid Vertex Image Key" sqref="G3:G7"/>
    <dataValidation allowBlank="1" showInputMessage="1" promptTitle="Vertex Color" prompt="To select an optional vertex color, right-click and select Select Color on the right-click menu." sqref="C3:C7"/>
    <dataValidation allowBlank="1" showInputMessage="1" promptTitle="Vertex Opacity" prompt="Enter an optional vertex opacity between 0 (transparent) and 100 (opaque)." errorTitle="Invalid Vertex Opacity" error="The optional vertex opacity must be a whole number between 0 and 10." sqref="F3:F7"/>
    <dataValidation type="list" allowBlank="1" showInputMessage="1" showErrorMessage="1" promptTitle="Vertex Shape" prompt="Select an optional vertex shape." errorTitle="Invalid Vertex Shape" error="You have entered an invalid vertex shape.  Try selecting from the drop-down list instead." sqref="D3:D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7">
      <formula1>ValidVertexLabelPositions</formula1>
    </dataValidation>
    <dataValidation allowBlank="1" showInputMessage="1" showErrorMessage="1" promptTitle="Vertex Name" prompt="Enter the name of the vertex." sqref="A3:A7"/>
  </dataValidations>
  <hyperlinks>
    <hyperlink ref="AM3" r:id="rId1" display="https://t.co/cvqOdZDa2B"/>
    <hyperlink ref="AM4" r:id="rId2" display="https://t.co/dEBqLcdEZz"/>
    <hyperlink ref="AM5" r:id="rId3" display="http://t.co/Vh4zMhosuL"/>
    <hyperlink ref="AM6" r:id="rId4" display="https://t.co/s7l1Uv6L5F"/>
    <hyperlink ref="AP3" r:id="rId5" display="https://pbs.twimg.com/profile_banners/1347255096/1551713170"/>
    <hyperlink ref="AP4" r:id="rId6" display="https://pbs.twimg.com/profile_banners/705342399703293952/1569495115"/>
    <hyperlink ref="AP5" r:id="rId7" display="https://pbs.twimg.com/profile_banners/102198965/1525466758"/>
    <hyperlink ref="AP6" r:id="rId8" display="https://pbs.twimg.com/profile_banners/85509895/1556718785"/>
    <hyperlink ref="AP7" r:id="rId9" display="https://pbs.twimg.com/profile_banners/1049211519140028416/1566076878"/>
    <hyperlink ref="AV3" r:id="rId10" display="http://abs.twimg.com/images/themes/theme4/bg.gif"/>
    <hyperlink ref="AV5" r:id="rId11" display="http://abs.twimg.com/images/themes/theme1/bg.png"/>
    <hyperlink ref="AV6" r:id="rId12" display="http://abs.twimg.com/images/themes/theme1/bg.png"/>
    <hyperlink ref="G3" r:id="rId13" display="http://pbs.twimg.com/profile_images/1102594034923638786/ixdXE3Vt_normal.png"/>
    <hyperlink ref="G4" r:id="rId14" display="http://pbs.twimg.com/profile_images/795180050677174272/bKe_Jd8b_normal.jpg"/>
    <hyperlink ref="G5" r:id="rId15" display="http://pbs.twimg.com/profile_images/760305105283457024/yzVcFZcT_normal.jpg"/>
    <hyperlink ref="G6" r:id="rId16" display="http://pbs.twimg.com/profile_images/1179022939968212992/CkFQ0kAE_normal.jpg"/>
    <hyperlink ref="G7" r:id="rId17" display="http://pbs.twimg.com/profile_images/1162837541868974082/HD5kLzSU_normal.jpg"/>
    <hyperlink ref="AY3" r:id="rId18" display="https://twitter.com/thomas_harrer"/>
    <hyperlink ref="AY4" r:id="rId19" display="https://twitter.com/adriennemcg1"/>
    <hyperlink ref="AY5" r:id="rId20" display="https://twitter.com/erichertzog"/>
    <hyperlink ref="AY6" r:id="rId21" display="https://twitter.com/topcybernews"/>
    <hyperlink ref="AY7" r:id="rId22" display="https://twitter.com/apollonaught1"/>
  </hyperlinks>
  <printOptions/>
  <pageMargins left="0.7" right="0.7" top="0.75" bottom="0.75" header="0.3" footer="0.3"/>
  <pageSetup horizontalDpi="600" verticalDpi="600" orientation="portrait" r:id="rId27"/>
  <drawing r:id="rId26"/>
  <legacyDrawing r:id="rId24"/>
  <tableParts>
    <tablePart r:id="rId25"/>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140625" style="0" bestFit="1" customWidth="1"/>
    <col min="26" max="26" width="14.57421875" style="0" bestFit="1" customWidth="1"/>
    <col min="27" max="27" width="14.7109375" style="0" bestFit="1" customWidth="1"/>
    <col min="28" max="28" width="12.57421875" style="0" bestFit="1" customWidth="1"/>
    <col min="29" max="29" width="15.7109375" style="0" bestFit="1" customWidth="1"/>
    <col min="30" max="30" width="13.7109375" style="0" bestFit="1" customWidth="1"/>
    <col min="31" max="31" width="16.8515625" style="0" bestFit="1" customWidth="1"/>
    <col min="32" max="32" width="11.421875" style="0" bestFit="1" customWidth="1"/>
    <col min="33" max="33" width="21.57421875" style="0" bestFit="1" customWidth="1"/>
    <col min="34" max="34" width="26.8515625" style="0" bestFit="1" customWidth="1"/>
    <col min="35" max="35" width="22.421875" style="0" bestFit="1" customWidth="1"/>
    <col min="36" max="36" width="27.8515625" style="0" bestFit="1" customWidth="1"/>
    <col min="37" max="37" width="27.140625" style="0" bestFit="1" customWidth="1"/>
    <col min="38" max="38" width="32.57421875" style="0" bestFit="1" customWidth="1"/>
    <col min="39" max="39" width="18.00390625" style="0" bestFit="1" customWidth="1"/>
    <col min="40" max="40" width="22.140625" style="0" bestFit="1" customWidth="1"/>
    <col min="41" max="41" width="16.2812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352</v>
      </c>
      <c r="Z2" s="13" t="s">
        <v>355</v>
      </c>
      <c r="AA2" s="13" t="s">
        <v>362</v>
      </c>
      <c r="AB2" s="13" t="s">
        <v>380</v>
      </c>
      <c r="AC2" s="13" t="s">
        <v>394</v>
      </c>
      <c r="AD2" s="13" t="s">
        <v>400</v>
      </c>
      <c r="AE2" s="13" t="s">
        <v>401</v>
      </c>
      <c r="AF2" s="13" t="s">
        <v>404</v>
      </c>
      <c r="AG2" s="68" t="s">
        <v>440</v>
      </c>
      <c r="AH2" s="68" t="s">
        <v>441</v>
      </c>
      <c r="AI2" s="68" t="s">
        <v>442</v>
      </c>
      <c r="AJ2" s="68" t="s">
        <v>443</v>
      </c>
      <c r="AK2" s="68" t="s">
        <v>444</v>
      </c>
      <c r="AL2" s="68" t="s">
        <v>445</v>
      </c>
      <c r="AM2" s="68" t="s">
        <v>446</v>
      </c>
      <c r="AN2" s="68" t="s">
        <v>447</v>
      </c>
      <c r="AO2" s="68" t="s">
        <v>450</v>
      </c>
    </row>
    <row r="3" spans="1:41" ht="15">
      <c r="A3" s="85" t="s">
        <v>343</v>
      </c>
      <c r="B3" s="121" t="s">
        <v>344</v>
      </c>
      <c r="C3" s="121" t="s">
        <v>56</v>
      </c>
      <c r="D3" s="15"/>
      <c r="E3" s="15"/>
      <c r="F3" s="16" t="s">
        <v>481</v>
      </c>
      <c r="G3" s="78"/>
      <c r="H3" s="78"/>
      <c r="I3" s="64">
        <v>3</v>
      </c>
      <c r="J3" s="64"/>
      <c r="K3" s="51">
        <v>5</v>
      </c>
      <c r="L3" s="51">
        <v>7</v>
      </c>
      <c r="M3" s="51">
        <v>0</v>
      </c>
      <c r="N3" s="51">
        <v>7</v>
      </c>
      <c r="O3" s="51">
        <v>0</v>
      </c>
      <c r="P3" s="52">
        <v>0</v>
      </c>
      <c r="Q3" s="52">
        <v>0</v>
      </c>
      <c r="R3" s="51">
        <v>1</v>
      </c>
      <c r="S3" s="51">
        <v>0</v>
      </c>
      <c r="T3" s="51">
        <v>5</v>
      </c>
      <c r="U3" s="51">
        <v>7</v>
      </c>
      <c r="V3" s="51">
        <v>2</v>
      </c>
      <c r="W3" s="52">
        <v>1.04</v>
      </c>
      <c r="X3" s="52">
        <v>0.35</v>
      </c>
      <c r="Y3" s="86"/>
      <c r="Z3" s="86"/>
      <c r="AA3" s="86" t="s">
        <v>223</v>
      </c>
      <c r="AB3" s="94" t="s">
        <v>381</v>
      </c>
      <c r="AC3" s="94" t="s">
        <v>395</v>
      </c>
      <c r="AD3" s="94"/>
      <c r="AE3" s="94" t="s">
        <v>218</v>
      </c>
      <c r="AF3" s="94" t="s">
        <v>405</v>
      </c>
      <c r="AG3" s="123">
        <v>4</v>
      </c>
      <c r="AH3" s="126">
        <v>3.8461538461538463</v>
      </c>
      <c r="AI3" s="123">
        <v>0</v>
      </c>
      <c r="AJ3" s="126">
        <v>0</v>
      </c>
      <c r="AK3" s="123">
        <v>0</v>
      </c>
      <c r="AL3" s="126">
        <v>0</v>
      </c>
      <c r="AM3" s="123">
        <v>100</v>
      </c>
      <c r="AN3" s="126">
        <v>96.15384615384616</v>
      </c>
      <c r="AO3" s="123">
        <v>104</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6" t="s">
        <v>343</v>
      </c>
      <c r="B2" s="94" t="s">
        <v>217</v>
      </c>
      <c r="C2" s="86">
        <f>VLOOKUP(GroupVertices[[#This Row],[Vertex]],Vertices[],MATCH("ID",Vertices[[#Headers],[Vertex]:[Vertex Content Word Count]],0),FALSE)</f>
        <v>7</v>
      </c>
    </row>
    <row r="3" spans="1:3" ht="15">
      <c r="A3" s="86" t="s">
        <v>343</v>
      </c>
      <c r="B3" s="94" t="s">
        <v>218</v>
      </c>
      <c r="C3" s="86">
        <f>VLOOKUP(GroupVertices[[#This Row],[Vertex]],Vertices[],MATCH("ID",Vertices[[#Headers],[Vertex]:[Vertex Content Word Count]],0),FALSE)</f>
        <v>5</v>
      </c>
    </row>
    <row r="4" spans="1:3" ht="15">
      <c r="A4" s="86" t="s">
        <v>343</v>
      </c>
      <c r="B4" s="94" t="s">
        <v>216</v>
      </c>
      <c r="C4" s="86">
        <f>VLOOKUP(GroupVertices[[#This Row],[Vertex]],Vertices[],MATCH("ID",Vertices[[#Headers],[Vertex]:[Vertex Content Word Count]],0),FALSE)</f>
        <v>4</v>
      </c>
    </row>
    <row r="5" spans="1:3" ht="15">
      <c r="A5" s="86" t="s">
        <v>343</v>
      </c>
      <c r="B5" s="94" t="s">
        <v>215</v>
      </c>
      <c r="C5" s="86">
        <f>VLOOKUP(GroupVertices[[#This Row],[Vertex]],Vertices[],MATCH("ID",Vertices[[#Headers],[Vertex]:[Vertex Content Word Count]],0),FALSE)</f>
        <v>6</v>
      </c>
    </row>
    <row r="6" spans="1:3" ht="15">
      <c r="A6" s="86" t="s">
        <v>343</v>
      </c>
      <c r="B6" s="94" t="s">
        <v>214</v>
      </c>
      <c r="C6" s="86">
        <f>VLOOKUP(GroupVertices[[#This Row],[Vertex]],Vertices[],MATCH("ID",Vertices[[#Headers],[Vertex]:[Vertex Content Word Count]],0),FALSE)</f>
        <v>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454</v>
      </c>
      <c r="B2" s="36" t="s">
        <v>304</v>
      </c>
      <c r="D2" s="33">
        <f>MIN(Vertices[Degree])</f>
        <v>0</v>
      </c>
      <c r="E2" s="3">
        <f>COUNTIF(Vertices[Degree],"&gt;= "&amp;D2)-COUNTIF(Vertices[Degree],"&gt;="&amp;D3)</f>
        <v>0</v>
      </c>
      <c r="F2" s="39">
        <f>MIN(Vertices[In-Degree])</f>
        <v>0</v>
      </c>
      <c r="G2" s="40">
        <f>COUNTIF(Vertices[In-Degree],"&gt;= "&amp;F2)-COUNTIF(Vertices[In-Degree],"&gt;="&amp;F3)</f>
        <v>3</v>
      </c>
      <c r="H2" s="39">
        <f>MIN(Vertices[Out-Degree])</f>
        <v>0</v>
      </c>
      <c r="I2" s="40">
        <f>COUNTIF(Vertices[Out-Degree],"&gt;= "&amp;H2)-COUNTIF(Vertices[Out-Degree],"&gt;="&amp;H3)</f>
        <v>1</v>
      </c>
      <c r="J2" s="39">
        <f>MIN(Vertices[Betweenness Centrality])</f>
        <v>0</v>
      </c>
      <c r="K2" s="40">
        <f>COUNTIF(Vertices[Betweenness Centrality],"&gt;= "&amp;J2)-COUNTIF(Vertices[Betweenness Centrality],"&gt;="&amp;J3)</f>
        <v>3</v>
      </c>
      <c r="L2" s="39">
        <f>MIN(Vertices[Closeness Centrality])</f>
        <v>0.166667</v>
      </c>
      <c r="M2" s="40">
        <f>COUNTIF(Vertices[Closeness Centrality],"&gt;= "&amp;L2)-COUNTIF(Vertices[Closeness Centrality],"&gt;="&amp;L3)</f>
        <v>3</v>
      </c>
      <c r="N2" s="39">
        <f>MIN(Vertices[Eigenvector Centrality])</f>
        <v>0.166667</v>
      </c>
      <c r="O2" s="40">
        <f>COUNTIF(Vertices[Eigenvector Centrality],"&gt;= "&amp;N2)-COUNTIF(Vertices[Eigenvector Centrality],"&gt;="&amp;N3)</f>
        <v>3</v>
      </c>
      <c r="P2" s="39">
        <f>MIN(Vertices[PageRank])</f>
        <v>0.740383</v>
      </c>
      <c r="Q2" s="40">
        <f>COUNTIF(Vertices[PageRank],"&gt;= "&amp;P2)-COUNTIF(Vertices[PageRank],"&gt;="&amp;P3)</f>
        <v>3</v>
      </c>
      <c r="R2" s="39">
        <f>MIN(Vertices[Clustering Coefficient])</f>
        <v>0.25</v>
      </c>
      <c r="S2" s="45">
        <f>COUNTIF(Vertices[Clustering Coefficient],"&gt;= "&amp;R2)-COUNTIF(Vertices[Clustering Coefficient],"&gt;="&amp;R3)</f>
        <v>2</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29"/>
      <c r="B3" s="129"/>
      <c r="D3" s="34">
        <f aca="true" t="shared" si="1" ref="D3:D26">D2+($D$57-$D$2)/BinDivisor</f>
        <v>0</v>
      </c>
      <c r="E3" s="3">
        <f>COUNTIF(Vertices[Degree],"&gt;= "&amp;D3)-COUNTIF(Vertices[Degree],"&gt;="&amp;D4)</f>
        <v>0</v>
      </c>
      <c r="F3" s="41">
        <f aca="true" t="shared" si="2" ref="F3:F26">F2+($F$57-$F$2)/BinDivisor</f>
        <v>0.07272727272727272</v>
      </c>
      <c r="G3" s="42">
        <f>COUNTIF(Vertices[In-Degree],"&gt;= "&amp;F3)-COUNTIF(Vertices[In-Degree],"&gt;="&amp;F4)</f>
        <v>0</v>
      </c>
      <c r="H3" s="41">
        <f aca="true" t="shared" si="3" ref="H3:H26">H2+($H$57-$H$2)/BinDivisor</f>
        <v>0.03636363636363636</v>
      </c>
      <c r="I3" s="42">
        <f>COUNTIF(Vertices[Out-Degree],"&gt;= "&amp;H3)-COUNTIF(Vertices[Out-Degree],"&gt;="&amp;H4)</f>
        <v>0</v>
      </c>
      <c r="J3" s="41">
        <f aca="true" t="shared" si="4" ref="J3:J26">J2+($J$57-$J$2)/BinDivisor</f>
        <v>0.05454545454545454</v>
      </c>
      <c r="K3" s="42">
        <f>COUNTIF(Vertices[Betweenness Centrality],"&gt;= "&amp;J3)-COUNTIF(Vertices[Betweenness Centrality],"&gt;="&amp;J4)</f>
        <v>0</v>
      </c>
      <c r="L3" s="41">
        <f aca="true" t="shared" si="5" ref="L3:L26">L2+($L$57-$L$2)/BinDivisor</f>
        <v>0.16818214545454546</v>
      </c>
      <c r="M3" s="42">
        <f>COUNTIF(Vertices[Closeness Centrality],"&gt;= "&amp;L3)-COUNTIF(Vertices[Closeness Centrality],"&gt;="&amp;L4)</f>
        <v>0</v>
      </c>
      <c r="N3" s="41">
        <f aca="true" t="shared" si="6" ref="N3:N26">N2+($N$57-$N$2)/BinDivisor</f>
        <v>0.16818214545454546</v>
      </c>
      <c r="O3" s="42">
        <f>COUNTIF(Vertices[Eigenvector Centrality],"&gt;= "&amp;N3)-COUNTIF(Vertices[Eigenvector Centrality],"&gt;="&amp;N4)</f>
        <v>0</v>
      </c>
      <c r="P3" s="41">
        <f aca="true" t="shared" si="7" ref="P3:P26">P2+($P$57-$P$2)/BinDivisor</f>
        <v>0.752179</v>
      </c>
      <c r="Q3" s="42">
        <f>COUNTIF(Vertices[PageRank],"&gt;= "&amp;P3)-COUNTIF(Vertices[PageRank],"&gt;="&amp;P4)</f>
        <v>0</v>
      </c>
      <c r="R3" s="41">
        <f aca="true" t="shared" si="8" ref="R3:R26">R2+($R$57-$R$2)/BinDivisor</f>
        <v>0.2545454545454545</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5</v>
      </c>
      <c r="D4" s="34">
        <f t="shared" si="1"/>
        <v>0</v>
      </c>
      <c r="E4" s="3">
        <f>COUNTIF(Vertices[Degree],"&gt;= "&amp;D4)-COUNTIF(Vertices[Degree],"&gt;="&amp;D5)</f>
        <v>0</v>
      </c>
      <c r="F4" s="39">
        <f t="shared" si="2"/>
        <v>0.14545454545454545</v>
      </c>
      <c r="G4" s="40">
        <f>COUNTIF(Vertices[In-Degree],"&gt;= "&amp;F4)-COUNTIF(Vertices[In-Degree],"&gt;="&amp;F5)</f>
        <v>0</v>
      </c>
      <c r="H4" s="39">
        <f t="shared" si="3"/>
        <v>0.07272727272727272</v>
      </c>
      <c r="I4" s="40">
        <f>COUNTIF(Vertices[Out-Degree],"&gt;= "&amp;H4)-COUNTIF(Vertices[Out-Degree],"&gt;="&amp;H5)</f>
        <v>0</v>
      </c>
      <c r="J4" s="39">
        <f t="shared" si="4"/>
        <v>0.10909090909090909</v>
      </c>
      <c r="K4" s="40">
        <f>COUNTIF(Vertices[Betweenness Centrality],"&gt;= "&amp;J4)-COUNTIF(Vertices[Betweenness Centrality],"&gt;="&amp;J5)</f>
        <v>0</v>
      </c>
      <c r="L4" s="39">
        <f t="shared" si="5"/>
        <v>0.16969729090909091</v>
      </c>
      <c r="M4" s="40">
        <f>COUNTIF(Vertices[Closeness Centrality],"&gt;= "&amp;L4)-COUNTIF(Vertices[Closeness Centrality],"&gt;="&amp;L5)</f>
        <v>0</v>
      </c>
      <c r="N4" s="39">
        <f t="shared" si="6"/>
        <v>0.16969729090909091</v>
      </c>
      <c r="O4" s="40">
        <f>COUNTIF(Vertices[Eigenvector Centrality],"&gt;= "&amp;N4)-COUNTIF(Vertices[Eigenvector Centrality],"&gt;="&amp;N5)</f>
        <v>0</v>
      </c>
      <c r="P4" s="39">
        <f t="shared" si="7"/>
        <v>0.7639750000000001</v>
      </c>
      <c r="Q4" s="40">
        <f>COUNTIF(Vertices[PageRank],"&gt;= "&amp;P4)-COUNTIF(Vertices[PageRank],"&gt;="&amp;P5)</f>
        <v>0</v>
      </c>
      <c r="R4" s="39">
        <f t="shared" si="8"/>
        <v>0.25909090909090904</v>
      </c>
      <c r="S4" s="45">
        <f>COUNTIF(Vertices[Clustering Coefficient],"&gt;= "&amp;R4)-COUNTIF(Vertices[Clustering Coefficient],"&gt;="&amp;R5)</f>
        <v>0</v>
      </c>
      <c r="T4" s="39" t="e">
        <f ca="1" t="shared" si="9"/>
        <v>#REF!</v>
      </c>
      <c r="U4" s="40" t="e">
        <f ca="1" t="shared" si="0"/>
        <v>#REF!</v>
      </c>
      <c r="W4" s="12" t="s">
        <v>126</v>
      </c>
      <c r="X4" s="12" t="s">
        <v>128</v>
      </c>
    </row>
    <row r="5" spans="1:21" ht="15">
      <c r="A5" s="129"/>
      <c r="B5" s="129"/>
      <c r="D5" s="34">
        <f t="shared" si="1"/>
        <v>0</v>
      </c>
      <c r="E5" s="3">
        <f>COUNTIF(Vertices[Degree],"&gt;= "&amp;D5)-COUNTIF(Vertices[Degree],"&gt;="&amp;D6)</f>
        <v>0</v>
      </c>
      <c r="F5" s="41">
        <f t="shared" si="2"/>
        <v>0.21818181818181817</v>
      </c>
      <c r="G5" s="42">
        <f>COUNTIF(Vertices[In-Degree],"&gt;= "&amp;F5)-COUNTIF(Vertices[In-Degree],"&gt;="&amp;F6)</f>
        <v>0</v>
      </c>
      <c r="H5" s="41">
        <f t="shared" si="3"/>
        <v>0.10909090909090909</v>
      </c>
      <c r="I5" s="42">
        <f>COUNTIF(Vertices[Out-Degree],"&gt;= "&amp;H5)-COUNTIF(Vertices[Out-Degree],"&gt;="&amp;H6)</f>
        <v>0</v>
      </c>
      <c r="J5" s="41">
        <f t="shared" si="4"/>
        <v>0.16363636363636364</v>
      </c>
      <c r="K5" s="42">
        <f>COUNTIF(Vertices[Betweenness Centrality],"&gt;= "&amp;J5)-COUNTIF(Vertices[Betweenness Centrality],"&gt;="&amp;J6)</f>
        <v>0</v>
      </c>
      <c r="L5" s="41">
        <f t="shared" si="5"/>
        <v>0.17121243636363637</v>
      </c>
      <c r="M5" s="42">
        <f>COUNTIF(Vertices[Closeness Centrality],"&gt;= "&amp;L5)-COUNTIF(Vertices[Closeness Centrality],"&gt;="&amp;L6)</f>
        <v>0</v>
      </c>
      <c r="N5" s="41">
        <f t="shared" si="6"/>
        <v>0.17121243636363637</v>
      </c>
      <c r="O5" s="42">
        <f>COUNTIF(Vertices[Eigenvector Centrality],"&gt;= "&amp;N5)-COUNTIF(Vertices[Eigenvector Centrality],"&gt;="&amp;N6)</f>
        <v>0</v>
      </c>
      <c r="P5" s="41">
        <f t="shared" si="7"/>
        <v>0.7757710000000001</v>
      </c>
      <c r="Q5" s="42">
        <f>COUNTIF(Vertices[PageRank],"&gt;= "&amp;P5)-COUNTIF(Vertices[PageRank],"&gt;="&amp;P6)</f>
        <v>0</v>
      </c>
      <c r="R5" s="41">
        <f t="shared" si="8"/>
        <v>0.26363636363636356</v>
      </c>
      <c r="S5" s="46">
        <f>COUNTIF(Vertices[Clustering Coefficient],"&gt;= "&amp;R5)-COUNTIF(Vertices[Clustering Coefficient],"&gt;="&amp;R6)</f>
        <v>0</v>
      </c>
      <c r="T5" s="41" t="e">
        <f ca="1" t="shared" si="9"/>
        <v>#REF!</v>
      </c>
      <c r="U5" s="42" t="e">
        <f ca="1" t="shared" si="0"/>
        <v>#REF!</v>
      </c>
    </row>
    <row r="6" spans="1:21" ht="15">
      <c r="A6" s="36" t="s">
        <v>148</v>
      </c>
      <c r="B6" s="36">
        <v>7</v>
      </c>
      <c r="D6" s="34">
        <f t="shared" si="1"/>
        <v>0</v>
      </c>
      <c r="E6" s="3">
        <f>COUNTIF(Vertices[Degree],"&gt;= "&amp;D6)-COUNTIF(Vertices[Degree],"&gt;="&amp;D7)</f>
        <v>0</v>
      </c>
      <c r="F6" s="39">
        <f t="shared" si="2"/>
        <v>0.2909090909090909</v>
      </c>
      <c r="G6" s="40">
        <f>COUNTIF(Vertices[In-Degree],"&gt;= "&amp;F6)-COUNTIF(Vertices[In-Degree],"&gt;="&amp;F7)</f>
        <v>0</v>
      </c>
      <c r="H6" s="39">
        <f t="shared" si="3"/>
        <v>0.14545454545454545</v>
      </c>
      <c r="I6" s="40">
        <f>COUNTIF(Vertices[Out-Degree],"&gt;= "&amp;H6)-COUNTIF(Vertices[Out-Degree],"&gt;="&amp;H7)</f>
        <v>0</v>
      </c>
      <c r="J6" s="39">
        <f t="shared" si="4"/>
        <v>0.21818181818181817</v>
      </c>
      <c r="K6" s="40">
        <f>COUNTIF(Vertices[Betweenness Centrality],"&gt;= "&amp;J6)-COUNTIF(Vertices[Betweenness Centrality],"&gt;="&amp;J7)</f>
        <v>0</v>
      </c>
      <c r="L6" s="39">
        <f t="shared" si="5"/>
        <v>0.17272758181818182</v>
      </c>
      <c r="M6" s="40">
        <f>COUNTIF(Vertices[Closeness Centrality],"&gt;= "&amp;L6)-COUNTIF(Vertices[Closeness Centrality],"&gt;="&amp;L7)</f>
        <v>0</v>
      </c>
      <c r="N6" s="39">
        <f t="shared" si="6"/>
        <v>0.17272758181818182</v>
      </c>
      <c r="O6" s="40">
        <f>COUNTIF(Vertices[Eigenvector Centrality],"&gt;= "&amp;N6)-COUNTIF(Vertices[Eigenvector Centrality],"&gt;="&amp;N7)</f>
        <v>0</v>
      </c>
      <c r="P6" s="39">
        <f t="shared" si="7"/>
        <v>0.7875670000000001</v>
      </c>
      <c r="Q6" s="40">
        <f>COUNTIF(Vertices[PageRank],"&gt;= "&amp;P6)-COUNTIF(Vertices[PageRank],"&gt;="&amp;P7)</f>
        <v>0</v>
      </c>
      <c r="R6" s="39">
        <f t="shared" si="8"/>
        <v>0.2681818181818181</v>
      </c>
      <c r="S6" s="45">
        <f>COUNTIF(Vertices[Clustering Coefficient],"&gt;= "&amp;R6)-COUNTIF(Vertices[Clustering Coefficient],"&gt;="&amp;R7)</f>
        <v>0</v>
      </c>
      <c r="T6" s="39" t="e">
        <f ca="1" t="shared" si="9"/>
        <v>#REF!</v>
      </c>
      <c r="U6" s="40" t="e">
        <f ca="1" t="shared" si="0"/>
        <v>#REF!</v>
      </c>
    </row>
    <row r="7" spans="1:21" ht="15">
      <c r="A7" s="36" t="s">
        <v>149</v>
      </c>
      <c r="B7" s="36">
        <v>0</v>
      </c>
      <c r="D7" s="34">
        <f t="shared" si="1"/>
        <v>0</v>
      </c>
      <c r="E7" s="3">
        <f>COUNTIF(Vertices[Degree],"&gt;= "&amp;D7)-COUNTIF(Vertices[Degree],"&gt;="&amp;D8)</f>
        <v>0</v>
      </c>
      <c r="F7" s="41">
        <f t="shared" si="2"/>
        <v>0.36363636363636365</v>
      </c>
      <c r="G7" s="42">
        <f>COUNTIF(Vertices[In-Degree],"&gt;= "&amp;F7)-COUNTIF(Vertices[In-Degree],"&gt;="&amp;F8)</f>
        <v>0</v>
      </c>
      <c r="H7" s="41">
        <f t="shared" si="3"/>
        <v>0.18181818181818182</v>
      </c>
      <c r="I7" s="42">
        <f>COUNTIF(Vertices[Out-Degree],"&gt;= "&amp;H7)-COUNTIF(Vertices[Out-Degree],"&gt;="&amp;H8)</f>
        <v>0</v>
      </c>
      <c r="J7" s="41">
        <f t="shared" si="4"/>
        <v>0.2727272727272727</v>
      </c>
      <c r="K7" s="42">
        <f>COUNTIF(Vertices[Betweenness Centrality],"&gt;= "&amp;J7)-COUNTIF(Vertices[Betweenness Centrality],"&gt;="&amp;J8)</f>
        <v>0</v>
      </c>
      <c r="L7" s="41">
        <f t="shared" si="5"/>
        <v>0.17424272727272727</v>
      </c>
      <c r="M7" s="42">
        <f>COUNTIF(Vertices[Closeness Centrality],"&gt;= "&amp;L7)-COUNTIF(Vertices[Closeness Centrality],"&gt;="&amp;L8)</f>
        <v>0</v>
      </c>
      <c r="N7" s="41">
        <f t="shared" si="6"/>
        <v>0.17424272727272727</v>
      </c>
      <c r="O7" s="42">
        <f>COUNTIF(Vertices[Eigenvector Centrality],"&gt;= "&amp;N7)-COUNTIF(Vertices[Eigenvector Centrality],"&gt;="&amp;N8)</f>
        <v>0</v>
      </c>
      <c r="P7" s="41">
        <f t="shared" si="7"/>
        <v>0.7993630000000002</v>
      </c>
      <c r="Q7" s="42">
        <f>COUNTIF(Vertices[PageRank],"&gt;= "&amp;P7)-COUNTIF(Vertices[PageRank],"&gt;="&amp;P8)</f>
        <v>0</v>
      </c>
      <c r="R7" s="41">
        <f t="shared" si="8"/>
        <v>0.2727272727272726</v>
      </c>
      <c r="S7" s="46">
        <f>COUNTIF(Vertices[Clustering Coefficient],"&gt;= "&amp;R7)-COUNTIF(Vertices[Clustering Coefficient],"&gt;="&amp;R8)</f>
        <v>0</v>
      </c>
      <c r="T7" s="41" t="e">
        <f ca="1" t="shared" si="9"/>
        <v>#REF!</v>
      </c>
      <c r="U7" s="42" t="e">
        <f ca="1" t="shared" si="0"/>
        <v>#REF!</v>
      </c>
    </row>
    <row r="8" spans="1:21" ht="15">
      <c r="A8" s="36" t="s">
        <v>150</v>
      </c>
      <c r="B8" s="36">
        <v>7</v>
      </c>
      <c r="D8" s="34">
        <f t="shared" si="1"/>
        <v>0</v>
      </c>
      <c r="E8" s="3">
        <f>COUNTIF(Vertices[Degree],"&gt;= "&amp;D8)-COUNTIF(Vertices[Degree],"&gt;="&amp;D9)</f>
        <v>0</v>
      </c>
      <c r="F8" s="39">
        <f t="shared" si="2"/>
        <v>0.4363636363636364</v>
      </c>
      <c r="G8" s="40">
        <f>COUNTIF(Vertices[In-Degree],"&gt;= "&amp;F8)-COUNTIF(Vertices[In-Degree],"&gt;="&amp;F9)</f>
        <v>0</v>
      </c>
      <c r="H8" s="39">
        <f t="shared" si="3"/>
        <v>0.2181818181818182</v>
      </c>
      <c r="I8" s="40">
        <f>COUNTIF(Vertices[Out-Degree],"&gt;= "&amp;H8)-COUNTIF(Vertices[Out-Degree],"&gt;="&amp;H9)</f>
        <v>0</v>
      </c>
      <c r="J8" s="39">
        <f t="shared" si="4"/>
        <v>0.32727272727272727</v>
      </c>
      <c r="K8" s="40">
        <f>COUNTIF(Vertices[Betweenness Centrality],"&gt;= "&amp;J8)-COUNTIF(Vertices[Betweenness Centrality],"&gt;="&amp;J9)</f>
        <v>0</v>
      </c>
      <c r="L8" s="39">
        <f t="shared" si="5"/>
        <v>0.17575787272727272</v>
      </c>
      <c r="M8" s="40">
        <f>COUNTIF(Vertices[Closeness Centrality],"&gt;= "&amp;L8)-COUNTIF(Vertices[Closeness Centrality],"&gt;="&amp;L9)</f>
        <v>0</v>
      </c>
      <c r="N8" s="39">
        <f t="shared" si="6"/>
        <v>0.17575787272727272</v>
      </c>
      <c r="O8" s="40">
        <f>COUNTIF(Vertices[Eigenvector Centrality],"&gt;= "&amp;N8)-COUNTIF(Vertices[Eigenvector Centrality],"&gt;="&amp;N9)</f>
        <v>0</v>
      </c>
      <c r="P8" s="39">
        <f t="shared" si="7"/>
        <v>0.8111590000000002</v>
      </c>
      <c r="Q8" s="40">
        <f>COUNTIF(Vertices[PageRank],"&gt;= "&amp;P8)-COUNTIF(Vertices[PageRank],"&gt;="&amp;P9)</f>
        <v>0</v>
      </c>
      <c r="R8" s="39">
        <f t="shared" si="8"/>
        <v>0.2772727272727271</v>
      </c>
      <c r="S8" s="45">
        <f>COUNTIF(Vertices[Clustering Coefficient],"&gt;= "&amp;R8)-COUNTIF(Vertices[Clustering Coefficient],"&gt;="&amp;R9)</f>
        <v>0</v>
      </c>
      <c r="T8" s="39" t="e">
        <f ca="1" t="shared" si="9"/>
        <v>#REF!</v>
      </c>
      <c r="U8" s="40" t="e">
        <f ca="1" t="shared" si="0"/>
        <v>#REF!</v>
      </c>
    </row>
    <row r="9" spans="1:21" ht="15">
      <c r="A9" s="129"/>
      <c r="B9" s="129"/>
      <c r="D9" s="34">
        <f t="shared" si="1"/>
        <v>0</v>
      </c>
      <c r="E9" s="3">
        <f>COUNTIF(Vertices[Degree],"&gt;= "&amp;D9)-COUNTIF(Vertices[Degree],"&gt;="&amp;D10)</f>
        <v>0</v>
      </c>
      <c r="F9" s="41">
        <f t="shared" si="2"/>
        <v>0.5090909090909091</v>
      </c>
      <c r="G9" s="42">
        <f>COUNTIF(Vertices[In-Degree],"&gt;= "&amp;F9)-COUNTIF(Vertices[In-Degree],"&gt;="&amp;F10)</f>
        <v>0</v>
      </c>
      <c r="H9" s="41">
        <f t="shared" si="3"/>
        <v>0.2545454545454546</v>
      </c>
      <c r="I9" s="42">
        <f>COUNTIF(Vertices[Out-Degree],"&gt;= "&amp;H9)-COUNTIF(Vertices[Out-Degree],"&gt;="&amp;H10)</f>
        <v>0</v>
      </c>
      <c r="J9" s="41">
        <f t="shared" si="4"/>
        <v>0.38181818181818183</v>
      </c>
      <c r="K9" s="42">
        <f>COUNTIF(Vertices[Betweenness Centrality],"&gt;= "&amp;J9)-COUNTIF(Vertices[Betweenness Centrality],"&gt;="&amp;J10)</f>
        <v>0</v>
      </c>
      <c r="L9" s="41">
        <f t="shared" si="5"/>
        <v>0.17727301818181818</v>
      </c>
      <c r="M9" s="42">
        <f>COUNTIF(Vertices[Closeness Centrality],"&gt;= "&amp;L9)-COUNTIF(Vertices[Closeness Centrality],"&gt;="&amp;L10)</f>
        <v>0</v>
      </c>
      <c r="N9" s="41">
        <f t="shared" si="6"/>
        <v>0.17727301818181818</v>
      </c>
      <c r="O9" s="42">
        <f>COUNTIF(Vertices[Eigenvector Centrality],"&gt;= "&amp;N9)-COUNTIF(Vertices[Eigenvector Centrality],"&gt;="&amp;N10)</f>
        <v>0</v>
      </c>
      <c r="P9" s="41">
        <f t="shared" si="7"/>
        <v>0.8229550000000002</v>
      </c>
      <c r="Q9" s="42">
        <f>COUNTIF(Vertices[PageRank],"&gt;= "&amp;P9)-COUNTIF(Vertices[PageRank],"&gt;="&amp;P10)</f>
        <v>0</v>
      </c>
      <c r="R9" s="41">
        <f t="shared" si="8"/>
        <v>0.28181818181818163</v>
      </c>
      <c r="S9" s="46">
        <f>COUNTIF(Vertices[Clustering Coefficient],"&gt;= "&amp;R9)-COUNTIF(Vertices[Clustering Coefficient],"&gt;="&amp;R10)</f>
        <v>0</v>
      </c>
      <c r="T9" s="41" t="e">
        <f ca="1" t="shared" si="9"/>
        <v>#REF!</v>
      </c>
      <c r="U9" s="42" t="e">
        <f ca="1" t="shared" si="0"/>
        <v>#REF!</v>
      </c>
    </row>
    <row r="10" spans="1:21" ht="15">
      <c r="A10" s="36" t="s">
        <v>151</v>
      </c>
      <c r="B10" s="36">
        <v>0</v>
      </c>
      <c r="D10" s="34">
        <f t="shared" si="1"/>
        <v>0</v>
      </c>
      <c r="E10" s="3">
        <f>COUNTIF(Vertices[Degree],"&gt;= "&amp;D10)-COUNTIF(Vertices[Degree],"&gt;="&amp;D11)</f>
        <v>0</v>
      </c>
      <c r="F10" s="39">
        <f t="shared" si="2"/>
        <v>0.5818181818181819</v>
      </c>
      <c r="G10" s="40">
        <f>COUNTIF(Vertices[In-Degree],"&gt;= "&amp;F10)-COUNTIF(Vertices[In-Degree],"&gt;="&amp;F11)</f>
        <v>0</v>
      </c>
      <c r="H10" s="39">
        <f t="shared" si="3"/>
        <v>0.29090909090909095</v>
      </c>
      <c r="I10" s="40">
        <f>COUNTIF(Vertices[Out-Degree],"&gt;= "&amp;H10)-COUNTIF(Vertices[Out-Degree],"&gt;="&amp;H11)</f>
        <v>0</v>
      </c>
      <c r="J10" s="39">
        <f t="shared" si="4"/>
        <v>0.4363636363636364</v>
      </c>
      <c r="K10" s="40">
        <f>COUNTIF(Vertices[Betweenness Centrality],"&gt;= "&amp;J10)-COUNTIF(Vertices[Betweenness Centrality],"&gt;="&amp;J11)</f>
        <v>0</v>
      </c>
      <c r="L10" s="39">
        <f t="shared" si="5"/>
        <v>0.17878816363636363</v>
      </c>
      <c r="M10" s="40">
        <f>COUNTIF(Vertices[Closeness Centrality],"&gt;= "&amp;L10)-COUNTIF(Vertices[Closeness Centrality],"&gt;="&amp;L11)</f>
        <v>0</v>
      </c>
      <c r="N10" s="39">
        <f t="shared" si="6"/>
        <v>0.17878816363636363</v>
      </c>
      <c r="O10" s="40">
        <f>COUNTIF(Vertices[Eigenvector Centrality],"&gt;= "&amp;N10)-COUNTIF(Vertices[Eigenvector Centrality],"&gt;="&amp;N11)</f>
        <v>0</v>
      </c>
      <c r="P10" s="39">
        <f t="shared" si="7"/>
        <v>0.8347510000000002</v>
      </c>
      <c r="Q10" s="40">
        <f>COUNTIF(Vertices[PageRank],"&gt;= "&amp;P10)-COUNTIF(Vertices[PageRank],"&gt;="&amp;P11)</f>
        <v>0</v>
      </c>
      <c r="R10" s="39">
        <f t="shared" si="8"/>
        <v>0.28636363636363615</v>
      </c>
      <c r="S10" s="45">
        <f>COUNTIF(Vertices[Clustering Coefficient],"&gt;= "&amp;R10)-COUNTIF(Vertices[Clustering Coefficient],"&gt;="&amp;R11)</f>
        <v>0</v>
      </c>
      <c r="T10" s="39" t="e">
        <f ca="1" t="shared" si="9"/>
        <v>#REF!</v>
      </c>
      <c r="U10" s="40" t="e">
        <f ca="1" t="shared" si="0"/>
        <v>#REF!</v>
      </c>
    </row>
    <row r="11" spans="1:21" ht="15">
      <c r="A11" s="129"/>
      <c r="B11" s="129"/>
      <c r="D11" s="34">
        <f t="shared" si="1"/>
        <v>0</v>
      </c>
      <c r="E11" s="3">
        <f>COUNTIF(Vertices[Degree],"&gt;= "&amp;D11)-COUNTIF(Vertices[Degree],"&gt;="&amp;D12)</f>
        <v>0</v>
      </c>
      <c r="F11" s="41">
        <f t="shared" si="2"/>
        <v>0.6545454545454547</v>
      </c>
      <c r="G11" s="42">
        <f>COUNTIF(Vertices[In-Degree],"&gt;= "&amp;F11)-COUNTIF(Vertices[In-Degree],"&gt;="&amp;F12)</f>
        <v>0</v>
      </c>
      <c r="H11" s="41">
        <f t="shared" si="3"/>
        <v>0.3272727272727273</v>
      </c>
      <c r="I11" s="42">
        <f>COUNTIF(Vertices[Out-Degree],"&gt;= "&amp;H11)-COUNTIF(Vertices[Out-Degree],"&gt;="&amp;H12)</f>
        <v>0</v>
      </c>
      <c r="J11" s="41">
        <f t="shared" si="4"/>
        <v>0.49090909090909096</v>
      </c>
      <c r="K11" s="42">
        <f>COUNTIF(Vertices[Betweenness Centrality],"&gt;= "&amp;J11)-COUNTIF(Vertices[Betweenness Centrality],"&gt;="&amp;J12)</f>
        <v>0</v>
      </c>
      <c r="L11" s="41">
        <f t="shared" si="5"/>
        <v>0.18030330909090908</v>
      </c>
      <c r="M11" s="42">
        <f>COUNTIF(Vertices[Closeness Centrality],"&gt;= "&amp;L11)-COUNTIF(Vertices[Closeness Centrality],"&gt;="&amp;L12)</f>
        <v>0</v>
      </c>
      <c r="N11" s="41">
        <f t="shared" si="6"/>
        <v>0.18030330909090908</v>
      </c>
      <c r="O11" s="42">
        <f>COUNTIF(Vertices[Eigenvector Centrality],"&gt;= "&amp;N11)-COUNTIF(Vertices[Eigenvector Centrality],"&gt;="&amp;N12)</f>
        <v>0</v>
      </c>
      <c r="P11" s="41">
        <f t="shared" si="7"/>
        <v>0.8465470000000003</v>
      </c>
      <c r="Q11" s="42">
        <f>COUNTIF(Vertices[PageRank],"&gt;= "&amp;P11)-COUNTIF(Vertices[PageRank],"&gt;="&amp;P12)</f>
        <v>0</v>
      </c>
      <c r="R11" s="41">
        <f t="shared" si="8"/>
        <v>0.2909090909090907</v>
      </c>
      <c r="S11" s="46">
        <f>COUNTIF(Vertices[Clustering Coefficient],"&gt;= "&amp;R11)-COUNTIF(Vertices[Clustering Coefficient],"&gt;="&amp;R12)</f>
        <v>0</v>
      </c>
      <c r="T11" s="41" t="e">
        <f ca="1" t="shared" si="9"/>
        <v>#REF!</v>
      </c>
      <c r="U11" s="42" t="e">
        <f ca="1" t="shared" si="0"/>
        <v>#REF!</v>
      </c>
    </row>
    <row r="12" spans="1:21" ht="15">
      <c r="A12" s="36" t="s">
        <v>170</v>
      </c>
      <c r="B12" s="36">
        <v>0</v>
      </c>
      <c r="D12" s="34">
        <f t="shared" si="1"/>
        <v>0</v>
      </c>
      <c r="E12" s="3">
        <f>COUNTIF(Vertices[Degree],"&gt;= "&amp;D12)-COUNTIF(Vertices[Degree],"&gt;="&amp;D13)</f>
        <v>0</v>
      </c>
      <c r="F12" s="39">
        <f t="shared" si="2"/>
        <v>0.7272727272727274</v>
      </c>
      <c r="G12" s="40">
        <f>COUNTIF(Vertices[In-Degree],"&gt;= "&amp;F12)-COUNTIF(Vertices[In-Degree],"&gt;="&amp;F13)</f>
        <v>0</v>
      </c>
      <c r="H12" s="39">
        <f t="shared" si="3"/>
        <v>0.3636363636363637</v>
      </c>
      <c r="I12" s="40">
        <f>COUNTIF(Vertices[Out-Degree],"&gt;= "&amp;H12)-COUNTIF(Vertices[Out-Degree],"&gt;="&amp;H13)</f>
        <v>0</v>
      </c>
      <c r="J12" s="39">
        <f t="shared" si="4"/>
        <v>0.5454545454545455</v>
      </c>
      <c r="K12" s="40">
        <f>COUNTIF(Vertices[Betweenness Centrality],"&gt;= "&amp;J12)-COUNTIF(Vertices[Betweenness Centrality],"&gt;="&amp;J13)</f>
        <v>0</v>
      </c>
      <c r="L12" s="39">
        <f t="shared" si="5"/>
        <v>0.18181845454545453</v>
      </c>
      <c r="M12" s="40">
        <f>COUNTIF(Vertices[Closeness Centrality],"&gt;= "&amp;L12)-COUNTIF(Vertices[Closeness Centrality],"&gt;="&amp;L13)</f>
        <v>0</v>
      </c>
      <c r="N12" s="39">
        <f t="shared" si="6"/>
        <v>0.18181845454545453</v>
      </c>
      <c r="O12" s="40">
        <f>COUNTIF(Vertices[Eigenvector Centrality],"&gt;= "&amp;N12)-COUNTIF(Vertices[Eigenvector Centrality],"&gt;="&amp;N13)</f>
        <v>0</v>
      </c>
      <c r="P12" s="39">
        <f t="shared" si="7"/>
        <v>0.8583430000000003</v>
      </c>
      <c r="Q12" s="40">
        <f>COUNTIF(Vertices[PageRank],"&gt;= "&amp;P12)-COUNTIF(Vertices[PageRank],"&gt;="&amp;P13)</f>
        <v>0</v>
      </c>
      <c r="R12" s="39">
        <f t="shared" si="8"/>
        <v>0.2954545454545452</v>
      </c>
      <c r="S12" s="45">
        <f>COUNTIF(Vertices[Clustering Coefficient],"&gt;= "&amp;R12)-COUNTIF(Vertices[Clustering Coefficient],"&gt;="&amp;R13)</f>
        <v>0</v>
      </c>
      <c r="T12" s="39" t="e">
        <f ca="1" t="shared" si="9"/>
        <v>#REF!</v>
      </c>
      <c r="U12" s="40" t="e">
        <f ca="1" t="shared" si="0"/>
        <v>#REF!</v>
      </c>
    </row>
    <row r="13" spans="1:21" ht="15">
      <c r="A13" s="36" t="s">
        <v>171</v>
      </c>
      <c r="B13" s="36">
        <v>0</v>
      </c>
      <c r="D13" s="34">
        <f t="shared" si="1"/>
        <v>0</v>
      </c>
      <c r="E13" s="3">
        <f>COUNTIF(Vertices[Degree],"&gt;= "&amp;D13)-COUNTIF(Vertices[Degree],"&gt;="&amp;D14)</f>
        <v>0</v>
      </c>
      <c r="F13" s="41">
        <f t="shared" si="2"/>
        <v>0.8000000000000002</v>
      </c>
      <c r="G13" s="42">
        <f>COUNTIF(Vertices[In-Degree],"&gt;= "&amp;F13)-COUNTIF(Vertices[In-Degree],"&gt;="&amp;F14)</f>
        <v>0</v>
      </c>
      <c r="H13" s="41">
        <f t="shared" si="3"/>
        <v>0.4000000000000001</v>
      </c>
      <c r="I13" s="42">
        <f>COUNTIF(Vertices[Out-Degree],"&gt;= "&amp;H13)-COUNTIF(Vertices[Out-Degree],"&gt;="&amp;H14)</f>
        <v>0</v>
      </c>
      <c r="J13" s="41">
        <f t="shared" si="4"/>
        <v>0.6000000000000001</v>
      </c>
      <c r="K13" s="42">
        <f>COUNTIF(Vertices[Betweenness Centrality],"&gt;= "&amp;J13)-COUNTIF(Vertices[Betweenness Centrality],"&gt;="&amp;J14)</f>
        <v>0</v>
      </c>
      <c r="L13" s="41">
        <f t="shared" si="5"/>
        <v>0.18333359999999999</v>
      </c>
      <c r="M13" s="42">
        <f>COUNTIF(Vertices[Closeness Centrality],"&gt;= "&amp;L13)-COUNTIF(Vertices[Closeness Centrality],"&gt;="&amp;L14)</f>
        <v>0</v>
      </c>
      <c r="N13" s="41">
        <f t="shared" si="6"/>
        <v>0.18333359999999999</v>
      </c>
      <c r="O13" s="42">
        <f>COUNTIF(Vertices[Eigenvector Centrality],"&gt;= "&amp;N13)-COUNTIF(Vertices[Eigenvector Centrality],"&gt;="&amp;N14)</f>
        <v>0</v>
      </c>
      <c r="P13" s="41">
        <f t="shared" si="7"/>
        <v>0.8701390000000003</v>
      </c>
      <c r="Q13" s="42">
        <f>COUNTIF(Vertices[PageRank],"&gt;= "&amp;P13)-COUNTIF(Vertices[PageRank],"&gt;="&amp;P14)</f>
        <v>0</v>
      </c>
      <c r="R13" s="41">
        <f t="shared" si="8"/>
        <v>0.2999999999999997</v>
      </c>
      <c r="S13" s="46">
        <f>COUNTIF(Vertices[Clustering Coefficient],"&gt;= "&amp;R13)-COUNTIF(Vertices[Clustering Coefficient],"&gt;="&amp;R14)</f>
        <v>0</v>
      </c>
      <c r="T13" s="41" t="e">
        <f ca="1" t="shared" si="9"/>
        <v>#REF!</v>
      </c>
      <c r="U13" s="42" t="e">
        <f ca="1" t="shared" si="0"/>
        <v>#REF!</v>
      </c>
    </row>
    <row r="14" spans="1:21" ht="15">
      <c r="A14" s="129"/>
      <c r="B14" s="129"/>
      <c r="D14" s="34">
        <f t="shared" si="1"/>
        <v>0</v>
      </c>
      <c r="E14" s="3">
        <f>COUNTIF(Vertices[Degree],"&gt;= "&amp;D14)-COUNTIF(Vertices[Degree],"&gt;="&amp;D15)</f>
        <v>0</v>
      </c>
      <c r="F14" s="39">
        <f t="shared" si="2"/>
        <v>0.8727272727272729</v>
      </c>
      <c r="G14" s="40">
        <f>COUNTIF(Vertices[In-Degree],"&gt;= "&amp;F14)-COUNTIF(Vertices[In-Degree],"&gt;="&amp;F15)</f>
        <v>0</v>
      </c>
      <c r="H14" s="39">
        <f t="shared" si="3"/>
        <v>0.43636363636363645</v>
      </c>
      <c r="I14" s="40">
        <f>COUNTIF(Vertices[Out-Degree],"&gt;= "&amp;H14)-COUNTIF(Vertices[Out-Degree],"&gt;="&amp;H15)</f>
        <v>0</v>
      </c>
      <c r="J14" s="39">
        <f t="shared" si="4"/>
        <v>0.6545454545454547</v>
      </c>
      <c r="K14" s="40">
        <f>COUNTIF(Vertices[Betweenness Centrality],"&gt;= "&amp;J14)-COUNTIF(Vertices[Betweenness Centrality],"&gt;="&amp;J15)</f>
        <v>0</v>
      </c>
      <c r="L14" s="39">
        <f t="shared" si="5"/>
        <v>0.18484874545454544</v>
      </c>
      <c r="M14" s="40">
        <f>COUNTIF(Vertices[Closeness Centrality],"&gt;= "&amp;L14)-COUNTIF(Vertices[Closeness Centrality],"&gt;="&amp;L15)</f>
        <v>0</v>
      </c>
      <c r="N14" s="39">
        <f t="shared" si="6"/>
        <v>0.18484874545454544</v>
      </c>
      <c r="O14" s="40">
        <f>COUNTIF(Vertices[Eigenvector Centrality],"&gt;= "&amp;N14)-COUNTIF(Vertices[Eigenvector Centrality],"&gt;="&amp;N15)</f>
        <v>0</v>
      </c>
      <c r="P14" s="39">
        <f t="shared" si="7"/>
        <v>0.8819350000000004</v>
      </c>
      <c r="Q14" s="40">
        <f>COUNTIF(Vertices[PageRank],"&gt;= "&amp;P14)-COUNTIF(Vertices[PageRank],"&gt;="&amp;P15)</f>
        <v>0</v>
      </c>
      <c r="R14" s="39">
        <f t="shared" si="8"/>
        <v>0.30454545454545423</v>
      </c>
      <c r="S14" s="45">
        <f>COUNTIF(Vertices[Clustering Coefficient],"&gt;= "&amp;R14)-COUNTIF(Vertices[Clustering Coefficient],"&gt;="&amp;R15)</f>
        <v>0</v>
      </c>
      <c r="T14" s="39" t="e">
        <f ca="1" t="shared" si="9"/>
        <v>#REF!</v>
      </c>
      <c r="U14" s="40" t="e">
        <f ca="1" t="shared" si="0"/>
        <v>#REF!</v>
      </c>
    </row>
    <row r="15" spans="1:21" ht="15">
      <c r="A15" s="36" t="s">
        <v>152</v>
      </c>
      <c r="B15" s="36">
        <v>1</v>
      </c>
      <c r="D15" s="34">
        <f t="shared" si="1"/>
        <v>0</v>
      </c>
      <c r="E15" s="3">
        <f>COUNTIF(Vertices[Degree],"&gt;= "&amp;D15)-COUNTIF(Vertices[Degree],"&gt;="&amp;D16)</f>
        <v>0</v>
      </c>
      <c r="F15" s="41">
        <f t="shared" si="2"/>
        <v>0.9454545454545457</v>
      </c>
      <c r="G15" s="42">
        <f>COUNTIF(Vertices[In-Degree],"&gt;= "&amp;F15)-COUNTIF(Vertices[In-Degree],"&gt;="&amp;F16)</f>
        <v>0</v>
      </c>
      <c r="H15" s="41">
        <f t="shared" si="3"/>
        <v>0.47272727272727283</v>
      </c>
      <c r="I15" s="42">
        <f>COUNTIF(Vertices[Out-Degree],"&gt;= "&amp;H15)-COUNTIF(Vertices[Out-Degree],"&gt;="&amp;H16)</f>
        <v>0</v>
      </c>
      <c r="J15" s="41">
        <f t="shared" si="4"/>
        <v>0.7090909090909092</v>
      </c>
      <c r="K15" s="42">
        <f>COUNTIF(Vertices[Betweenness Centrality],"&gt;= "&amp;J15)-COUNTIF(Vertices[Betweenness Centrality],"&gt;="&amp;J16)</f>
        <v>0</v>
      </c>
      <c r="L15" s="41">
        <f t="shared" si="5"/>
        <v>0.1863638909090909</v>
      </c>
      <c r="M15" s="42">
        <f>COUNTIF(Vertices[Closeness Centrality],"&gt;= "&amp;L15)-COUNTIF(Vertices[Closeness Centrality],"&gt;="&amp;L16)</f>
        <v>0</v>
      </c>
      <c r="N15" s="41">
        <f t="shared" si="6"/>
        <v>0.1863638909090909</v>
      </c>
      <c r="O15" s="42">
        <f>COUNTIF(Vertices[Eigenvector Centrality],"&gt;= "&amp;N15)-COUNTIF(Vertices[Eigenvector Centrality],"&gt;="&amp;N16)</f>
        <v>0</v>
      </c>
      <c r="P15" s="41">
        <f t="shared" si="7"/>
        <v>0.8937310000000004</v>
      </c>
      <c r="Q15" s="42">
        <f>COUNTIF(Vertices[PageRank],"&gt;= "&amp;P15)-COUNTIF(Vertices[PageRank],"&gt;="&amp;P16)</f>
        <v>0</v>
      </c>
      <c r="R15" s="41">
        <f t="shared" si="8"/>
        <v>0.30909090909090875</v>
      </c>
      <c r="S15" s="46">
        <f>COUNTIF(Vertices[Clustering Coefficient],"&gt;= "&amp;R15)-COUNTIF(Vertices[Clustering Coefficient],"&gt;="&amp;R16)</f>
        <v>0</v>
      </c>
      <c r="T15" s="41" t="e">
        <f ca="1" t="shared" si="9"/>
        <v>#REF!</v>
      </c>
      <c r="U15" s="42" t="e">
        <f ca="1" t="shared" si="0"/>
        <v>#REF!</v>
      </c>
    </row>
    <row r="16" spans="1:21" ht="15">
      <c r="A16" s="36" t="s">
        <v>153</v>
      </c>
      <c r="B16" s="36">
        <v>0</v>
      </c>
      <c r="D16" s="34">
        <f t="shared" si="1"/>
        <v>0</v>
      </c>
      <c r="E16" s="3">
        <f>COUNTIF(Vertices[Degree],"&gt;= "&amp;D16)-COUNTIF(Vertices[Degree],"&gt;="&amp;D17)</f>
        <v>0</v>
      </c>
      <c r="F16" s="39">
        <f t="shared" si="2"/>
        <v>1.0181818181818183</v>
      </c>
      <c r="G16" s="40">
        <f>COUNTIF(Vertices[In-Degree],"&gt;= "&amp;F16)-COUNTIF(Vertices[In-Degree],"&gt;="&amp;F17)</f>
        <v>0</v>
      </c>
      <c r="H16" s="39">
        <f t="shared" si="3"/>
        <v>0.5090909090909091</v>
      </c>
      <c r="I16" s="40">
        <f>COUNTIF(Vertices[Out-Degree],"&gt;= "&amp;H16)-COUNTIF(Vertices[Out-Degree],"&gt;="&amp;H17)</f>
        <v>0</v>
      </c>
      <c r="J16" s="39">
        <f t="shared" si="4"/>
        <v>0.7636363636363638</v>
      </c>
      <c r="K16" s="40">
        <f>COUNTIF(Vertices[Betweenness Centrality],"&gt;= "&amp;J16)-COUNTIF(Vertices[Betweenness Centrality],"&gt;="&amp;J17)</f>
        <v>0</v>
      </c>
      <c r="L16" s="39">
        <f t="shared" si="5"/>
        <v>0.18787903636363634</v>
      </c>
      <c r="M16" s="40">
        <f>COUNTIF(Vertices[Closeness Centrality],"&gt;= "&amp;L16)-COUNTIF(Vertices[Closeness Centrality],"&gt;="&amp;L17)</f>
        <v>0</v>
      </c>
      <c r="N16" s="39">
        <f t="shared" si="6"/>
        <v>0.18787903636363634</v>
      </c>
      <c r="O16" s="40">
        <f>COUNTIF(Vertices[Eigenvector Centrality],"&gt;= "&amp;N16)-COUNTIF(Vertices[Eigenvector Centrality],"&gt;="&amp;N17)</f>
        <v>0</v>
      </c>
      <c r="P16" s="39">
        <f t="shared" si="7"/>
        <v>0.9055270000000004</v>
      </c>
      <c r="Q16" s="40">
        <f>COUNTIF(Vertices[PageRank],"&gt;= "&amp;P16)-COUNTIF(Vertices[PageRank],"&gt;="&amp;P17)</f>
        <v>0</v>
      </c>
      <c r="R16" s="39">
        <f t="shared" si="8"/>
        <v>0.31363636363636327</v>
      </c>
      <c r="S16" s="45">
        <f>COUNTIF(Vertices[Clustering Coefficient],"&gt;= "&amp;R16)-COUNTIF(Vertices[Clustering Coefficient],"&gt;="&amp;R17)</f>
        <v>0</v>
      </c>
      <c r="T16" s="39" t="e">
        <f ca="1" t="shared" si="9"/>
        <v>#REF!</v>
      </c>
      <c r="U16" s="40" t="e">
        <f ca="1" t="shared" si="0"/>
        <v>#REF!</v>
      </c>
    </row>
    <row r="17" spans="1:21" ht="15">
      <c r="A17" s="36" t="s">
        <v>154</v>
      </c>
      <c r="B17" s="36">
        <v>5</v>
      </c>
      <c r="D17" s="34">
        <f t="shared" si="1"/>
        <v>0</v>
      </c>
      <c r="E17" s="3">
        <f>COUNTIF(Vertices[Degree],"&gt;= "&amp;D17)-COUNTIF(Vertices[Degree],"&gt;="&amp;D18)</f>
        <v>0</v>
      </c>
      <c r="F17" s="41">
        <f t="shared" si="2"/>
        <v>1.090909090909091</v>
      </c>
      <c r="G17" s="42">
        <f>COUNTIF(Vertices[In-Degree],"&gt;= "&amp;F17)-COUNTIF(Vertices[In-Degree],"&gt;="&amp;F18)</f>
        <v>0</v>
      </c>
      <c r="H17" s="41">
        <f t="shared" si="3"/>
        <v>0.5454545454545455</v>
      </c>
      <c r="I17" s="42">
        <f>COUNTIF(Vertices[Out-Degree],"&gt;= "&amp;H17)-COUNTIF(Vertices[Out-Degree],"&gt;="&amp;H18)</f>
        <v>0</v>
      </c>
      <c r="J17" s="41">
        <f t="shared" si="4"/>
        <v>0.8181818181818183</v>
      </c>
      <c r="K17" s="42">
        <f>COUNTIF(Vertices[Betweenness Centrality],"&gt;= "&amp;J17)-COUNTIF(Vertices[Betweenness Centrality],"&gt;="&amp;J18)</f>
        <v>0</v>
      </c>
      <c r="L17" s="41">
        <f t="shared" si="5"/>
        <v>0.1893941818181818</v>
      </c>
      <c r="M17" s="42">
        <f>COUNTIF(Vertices[Closeness Centrality],"&gt;= "&amp;L17)-COUNTIF(Vertices[Closeness Centrality],"&gt;="&amp;L18)</f>
        <v>0</v>
      </c>
      <c r="N17" s="41">
        <f t="shared" si="6"/>
        <v>0.1893941818181818</v>
      </c>
      <c r="O17" s="42">
        <f>COUNTIF(Vertices[Eigenvector Centrality],"&gt;= "&amp;N17)-COUNTIF(Vertices[Eigenvector Centrality],"&gt;="&amp;N18)</f>
        <v>0</v>
      </c>
      <c r="P17" s="41">
        <f t="shared" si="7"/>
        <v>0.9173230000000004</v>
      </c>
      <c r="Q17" s="42">
        <f>COUNTIF(Vertices[PageRank],"&gt;= "&amp;P17)-COUNTIF(Vertices[PageRank],"&gt;="&amp;P18)</f>
        <v>0</v>
      </c>
      <c r="R17" s="41">
        <f t="shared" si="8"/>
        <v>0.3181818181818178</v>
      </c>
      <c r="S17" s="46">
        <f>COUNTIF(Vertices[Clustering Coefficient],"&gt;= "&amp;R17)-COUNTIF(Vertices[Clustering Coefficient],"&gt;="&amp;R18)</f>
        <v>0</v>
      </c>
      <c r="T17" s="41" t="e">
        <f ca="1" t="shared" si="9"/>
        <v>#REF!</v>
      </c>
      <c r="U17" s="42" t="e">
        <f ca="1" t="shared" si="0"/>
        <v>#REF!</v>
      </c>
    </row>
    <row r="18" spans="1:21" ht="15">
      <c r="A18" s="36" t="s">
        <v>155</v>
      </c>
      <c r="B18" s="36">
        <v>7</v>
      </c>
      <c r="D18" s="34">
        <f t="shared" si="1"/>
        <v>0</v>
      </c>
      <c r="E18" s="3">
        <f>COUNTIF(Vertices[Degree],"&gt;= "&amp;D18)-COUNTIF(Vertices[Degree],"&gt;="&amp;D19)</f>
        <v>0</v>
      </c>
      <c r="F18" s="39">
        <f t="shared" si="2"/>
        <v>1.1636363636363638</v>
      </c>
      <c r="G18" s="40">
        <f>COUNTIF(Vertices[In-Degree],"&gt;= "&amp;F18)-COUNTIF(Vertices[In-Degree],"&gt;="&amp;F19)</f>
        <v>0</v>
      </c>
      <c r="H18" s="39">
        <f t="shared" si="3"/>
        <v>0.5818181818181819</v>
      </c>
      <c r="I18" s="40">
        <f>COUNTIF(Vertices[Out-Degree],"&gt;= "&amp;H18)-COUNTIF(Vertices[Out-Degree],"&gt;="&amp;H19)</f>
        <v>0</v>
      </c>
      <c r="J18" s="39">
        <f t="shared" si="4"/>
        <v>0.8727272727272729</v>
      </c>
      <c r="K18" s="40">
        <f>COUNTIF(Vertices[Betweenness Centrality],"&gt;= "&amp;J18)-COUNTIF(Vertices[Betweenness Centrality],"&gt;="&amp;J19)</f>
        <v>0</v>
      </c>
      <c r="L18" s="39">
        <f t="shared" si="5"/>
        <v>0.19090932727272725</v>
      </c>
      <c r="M18" s="40">
        <f>COUNTIF(Vertices[Closeness Centrality],"&gt;= "&amp;L18)-COUNTIF(Vertices[Closeness Centrality],"&gt;="&amp;L19)</f>
        <v>0</v>
      </c>
      <c r="N18" s="39">
        <f t="shared" si="6"/>
        <v>0.19090932727272725</v>
      </c>
      <c r="O18" s="40">
        <f>COUNTIF(Vertices[Eigenvector Centrality],"&gt;= "&amp;N18)-COUNTIF(Vertices[Eigenvector Centrality],"&gt;="&amp;N19)</f>
        <v>0</v>
      </c>
      <c r="P18" s="39">
        <f t="shared" si="7"/>
        <v>0.9291190000000005</v>
      </c>
      <c r="Q18" s="40">
        <f>COUNTIF(Vertices[PageRank],"&gt;= "&amp;P18)-COUNTIF(Vertices[PageRank],"&gt;="&amp;P19)</f>
        <v>0</v>
      </c>
      <c r="R18" s="39">
        <f t="shared" si="8"/>
        <v>0.3227272727272723</v>
      </c>
      <c r="S18" s="45">
        <f>COUNTIF(Vertices[Clustering Coefficient],"&gt;= "&amp;R18)-COUNTIF(Vertices[Clustering Coefficient],"&gt;="&amp;R19)</f>
        <v>0</v>
      </c>
      <c r="T18" s="39" t="e">
        <f ca="1" t="shared" si="9"/>
        <v>#REF!</v>
      </c>
      <c r="U18" s="40" t="e">
        <f ca="1" t="shared" si="0"/>
        <v>#REF!</v>
      </c>
    </row>
    <row r="19" spans="1:21" ht="15">
      <c r="A19" s="129"/>
      <c r="B19" s="129"/>
      <c r="D19" s="34">
        <f t="shared" si="1"/>
        <v>0</v>
      </c>
      <c r="E19" s="3">
        <f>COUNTIF(Vertices[Degree],"&gt;= "&amp;D19)-COUNTIF(Vertices[Degree],"&gt;="&amp;D20)</f>
        <v>0</v>
      </c>
      <c r="F19" s="41">
        <f t="shared" si="2"/>
        <v>1.2363636363636366</v>
      </c>
      <c r="G19" s="42">
        <f>COUNTIF(Vertices[In-Degree],"&gt;= "&amp;F19)-COUNTIF(Vertices[In-Degree],"&gt;="&amp;F20)</f>
        <v>0</v>
      </c>
      <c r="H19" s="41">
        <f t="shared" si="3"/>
        <v>0.6181818181818183</v>
      </c>
      <c r="I19" s="42">
        <f>COUNTIF(Vertices[Out-Degree],"&gt;= "&amp;H19)-COUNTIF(Vertices[Out-Degree],"&gt;="&amp;H20)</f>
        <v>0</v>
      </c>
      <c r="J19" s="41">
        <f t="shared" si="4"/>
        <v>0.9272727272727275</v>
      </c>
      <c r="K19" s="42">
        <f>COUNTIF(Vertices[Betweenness Centrality],"&gt;= "&amp;J19)-COUNTIF(Vertices[Betweenness Centrality],"&gt;="&amp;J20)</f>
        <v>0</v>
      </c>
      <c r="L19" s="41">
        <f t="shared" si="5"/>
        <v>0.1924244727272727</v>
      </c>
      <c r="M19" s="42">
        <f>COUNTIF(Vertices[Closeness Centrality],"&gt;= "&amp;L19)-COUNTIF(Vertices[Closeness Centrality],"&gt;="&amp;L20)</f>
        <v>0</v>
      </c>
      <c r="N19" s="41">
        <f t="shared" si="6"/>
        <v>0.1924244727272727</v>
      </c>
      <c r="O19" s="42">
        <f>COUNTIF(Vertices[Eigenvector Centrality],"&gt;= "&amp;N19)-COUNTIF(Vertices[Eigenvector Centrality],"&gt;="&amp;N20)</f>
        <v>0</v>
      </c>
      <c r="P19" s="41">
        <f t="shared" si="7"/>
        <v>0.9409150000000005</v>
      </c>
      <c r="Q19" s="42">
        <f>COUNTIF(Vertices[PageRank],"&gt;= "&amp;P19)-COUNTIF(Vertices[PageRank],"&gt;="&amp;P20)</f>
        <v>0</v>
      </c>
      <c r="R19" s="41">
        <f t="shared" si="8"/>
        <v>0.3272727272727268</v>
      </c>
      <c r="S19" s="46">
        <f>COUNTIF(Vertices[Clustering Coefficient],"&gt;= "&amp;R19)-COUNTIF(Vertices[Clustering Coefficient],"&gt;="&amp;R20)</f>
        <v>0</v>
      </c>
      <c r="T19" s="41" t="e">
        <f ca="1" t="shared" si="9"/>
        <v>#REF!</v>
      </c>
      <c r="U19" s="42" t="e">
        <f ca="1" t="shared" si="0"/>
        <v>#REF!</v>
      </c>
    </row>
    <row r="20" spans="1:21" ht="15">
      <c r="A20" s="36" t="s">
        <v>156</v>
      </c>
      <c r="B20" s="36">
        <v>2</v>
      </c>
      <c r="D20" s="34">
        <f t="shared" si="1"/>
        <v>0</v>
      </c>
      <c r="E20" s="3">
        <f>COUNTIF(Vertices[Degree],"&gt;= "&amp;D20)-COUNTIF(Vertices[Degree],"&gt;="&amp;D21)</f>
        <v>0</v>
      </c>
      <c r="F20" s="39">
        <f t="shared" si="2"/>
        <v>1.3090909090909093</v>
      </c>
      <c r="G20" s="40">
        <f>COUNTIF(Vertices[In-Degree],"&gt;= "&amp;F20)-COUNTIF(Vertices[In-Degree],"&gt;="&amp;F21)</f>
        <v>0</v>
      </c>
      <c r="H20" s="39">
        <f t="shared" si="3"/>
        <v>0.6545454545454547</v>
      </c>
      <c r="I20" s="40">
        <f>COUNTIF(Vertices[Out-Degree],"&gt;= "&amp;H20)-COUNTIF(Vertices[Out-Degree],"&gt;="&amp;H21)</f>
        <v>0</v>
      </c>
      <c r="J20" s="39">
        <f t="shared" si="4"/>
        <v>0.981818181818182</v>
      </c>
      <c r="K20" s="40">
        <f>COUNTIF(Vertices[Betweenness Centrality],"&gt;= "&amp;J20)-COUNTIF(Vertices[Betweenness Centrality],"&gt;="&amp;J21)</f>
        <v>0</v>
      </c>
      <c r="L20" s="39">
        <f t="shared" si="5"/>
        <v>0.19393961818181815</v>
      </c>
      <c r="M20" s="40">
        <f>COUNTIF(Vertices[Closeness Centrality],"&gt;= "&amp;L20)-COUNTIF(Vertices[Closeness Centrality],"&gt;="&amp;L21)</f>
        <v>0</v>
      </c>
      <c r="N20" s="39">
        <f t="shared" si="6"/>
        <v>0.19393961818181815</v>
      </c>
      <c r="O20" s="40">
        <f>COUNTIF(Vertices[Eigenvector Centrality],"&gt;= "&amp;N20)-COUNTIF(Vertices[Eigenvector Centrality],"&gt;="&amp;N21)</f>
        <v>0</v>
      </c>
      <c r="P20" s="39">
        <f t="shared" si="7"/>
        <v>0.9527110000000005</v>
      </c>
      <c r="Q20" s="40">
        <f>COUNTIF(Vertices[PageRank],"&gt;= "&amp;P20)-COUNTIF(Vertices[PageRank],"&gt;="&amp;P21)</f>
        <v>0</v>
      </c>
      <c r="R20" s="39">
        <f t="shared" si="8"/>
        <v>0.33181818181818135</v>
      </c>
      <c r="S20" s="45">
        <f>COUNTIF(Vertices[Clustering Coefficient],"&gt;= "&amp;R20)-COUNTIF(Vertices[Clustering Coefficient],"&gt;="&amp;R21)</f>
        <v>0</v>
      </c>
      <c r="T20" s="39" t="e">
        <f ca="1" t="shared" si="9"/>
        <v>#REF!</v>
      </c>
      <c r="U20" s="40" t="e">
        <f ca="1" t="shared" si="0"/>
        <v>#REF!</v>
      </c>
    </row>
    <row r="21" spans="1:21" ht="15">
      <c r="A21" s="36" t="s">
        <v>157</v>
      </c>
      <c r="B21" s="36">
        <v>1.04</v>
      </c>
      <c r="D21" s="34">
        <f t="shared" si="1"/>
        <v>0</v>
      </c>
      <c r="E21" s="3">
        <f>COUNTIF(Vertices[Degree],"&gt;= "&amp;D21)-COUNTIF(Vertices[Degree],"&gt;="&amp;D22)</f>
        <v>0</v>
      </c>
      <c r="F21" s="41">
        <f t="shared" si="2"/>
        <v>1.381818181818182</v>
      </c>
      <c r="G21" s="42">
        <f>COUNTIF(Vertices[In-Degree],"&gt;= "&amp;F21)-COUNTIF(Vertices[In-Degree],"&gt;="&amp;F22)</f>
        <v>0</v>
      </c>
      <c r="H21" s="41">
        <f t="shared" si="3"/>
        <v>0.690909090909091</v>
      </c>
      <c r="I21" s="42">
        <f>COUNTIF(Vertices[Out-Degree],"&gt;= "&amp;H21)-COUNTIF(Vertices[Out-Degree],"&gt;="&amp;H22)</f>
        <v>0</v>
      </c>
      <c r="J21" s="41">
        <f t="shared" si="4"/>
        <v>1.0363636363636366</v>
      </c>
      <c r="K21" s="42">
        <f>COUNTIF(Vertices[Betweenness Centrality],"&gt;= "&amp;J21)-COUNTIF(Vertices[Betweenness Centrality],"&gt;="&amp;J22)</f>
        <v>0</v>
      </c>
      <c r="L21" s="41">
        <f t="shared" si="5"/>
        <v>0.1954547636363636</v>
      </c>
      <c r="M21" s="42">
        <f>COUNTIF(Vertices[Closeness Centrality],"&gt;= "&amp;L21)-COUNTIF(Vertices[Closeness Centrality],"&gt;="&amp;L22)</f>
        <v>0</v>
      </c>
      <c r="N21" s="41">
        <f t="shared" si="6"/>
        <v>0.1954547636363636</v>
      </c>
      <c r="O21" s="42">
        <f>COUNTIF(Vertices[Eigenvector Centrality],"&gt;= "&amp;N21)-COUNTIF(Vertices[Eigenvector Centrality],"&gt;="&amp;N22)</f>
        <v>0</v>
      </c>
      <c r="P21" s="41">
        <f t="shared" si="7"/>
        <v>0.9645070000000006</v>
      </c>
      <c r="Q21" s="42">
        <f>COUNTIF(Vertices[PageRank],"&gt;= "&amp;P21)-COUNTIF(Vertices[PageRank],"&gt;="&amp;P22)</f>
        <v>0</v>
      </c>
      <c r="R21" s="41">
        <f t="shared" si="8"/>
        <v>0.33636363636363587</v>
      </c>
      <c r="S21" s="46">
        <f>COUNTIF(Vertices[Clustering Coefficient],"&gt;= "&amp;R21)-COUNTIF(Vertices[Clustering Coefficient],"&gt;="&amp;R22)</f>
        <v>0</v>
      </c>
      <c r="T21" s="41" t="e">
        <f ca="1" t="shared" si="9"/>
        <v>#REF!</v>
      </c>
      <c r="U21" s="42" t="e">
        <f ca="1" t="shared" si="0"/>
        <v>#REF!</v>
      </c>
    </row>
    <row r="22" spans="1:21" ht="15">
      <c r="A22" s="129"/>
      <c r="B22" s="129"/>
      <c r="D22" s="34">
        <f t="shared" si="1"/>
        <v>0</v>
      </c>
      <c r="E22" s="3">
        <f>COUNTIF(Vertices[Degree],"&gt;= "&amp;D22)-COUNTIF(Vertices[Degree],"&gt;="&amp;D23)</f>
        <v>0</v>
      </c>
      <c r="F22" s="39">
        <f t="shared" si="2"/>
        <v>1.4545454545454548</v>
      </c>
      <c r="G22" s="40">
        <f>COUNTIF(Vertices[In-Degree],"&gt;= "&amp;F22)-COUNTIF(Vertices[In-Degree],"&gt;="&amp;F23)</f>
        <v>0</v>
      </c>
      <c r="H22" s="39">
        <f t="shared" si="3"/>
        <v>0.7272727272727274</v>
      </c>
      <c r="I22" s="40">
        <f>COUNTIF(Vertices[Out-Degree],"&gt;= "&amp;H22)-COUNTIF(Vertices[Out-Degree],"&gt;="&amp;H23)</f>
        <v>0</v>
      </c>
      <c r="J22" s="39">
        <f t="shared" si="4"/>
        <v>1.090909090909091</v>
      </c>
      <c r="K22" s="40">
        <f>COUNTIF(Vertices[Betweenness Centrality],"&gt;= "&amp;J22)-COUNTIF(Vertices[Betweenness Centrality],"&gt;="&amp;J23)</f>
        <v>0</v>
      </c>
      <c r="L22" s="39">
        <f t="shared" si="5"/>
        <v>0.19696990909090906</v>
      </c>
      <c r="M22" s="40">
        <f>COUNTIF(Vertices[Closeness Centrality],"&gt;= "&amp;L22)-COUNTIF(Vertices[Closeness Centrality],"&gt;="&amp;L23)</f>
        <v>0</v>
      </c>
      <c r="N22" s="39">
        <f t="shared" si="6"/>
        <v>0.19696990909090906</v>
      </c>
      <c r="O22" s="40">
        <f>COUNTIF(Vertices[Eigenvector Centrality],"&gt;= "&amp;N22)-COUNTIF(Vertices[Eigenvector Centrality],"&gt;="&amp;N23)</f>
        <v>0</v>
      </c>
      <c r="P22" s="39">
        <f t="shared" si="7"/>
        <v>0.9763030000000006</v>
      </c>
      <c r="Q22" s="40">
        <f>COUNTIF(Vertices[PageRank],"&gt;= "&amp;P22)-COUNTIF(Vertices[PageRank],"&gt;="&amp;P23)</f>
        <v>0</v>
      </c>
      <c r="R22" s="39">
        <f t="shared" si="8"/>
        <v>0.3409090909090904</v>
      </c>
      <c r="S22" s="45">
        <f>COUNTIF(Vertices[Clustering Coefficient],"&gt;= "&amp;R22)-COUNTIF(Vertices[Clustering Coefficient],"&gt;="&amp;R23)</f>
        <v>0</v>
      </c>
      <c r="T22" s="39" t="e">
        <f ca="1" t="shared" si="9"/>
        <v>#REF!</v>
      </c>
      <c r="U22" s="40" t="e">
        <f ca="1" t="shared" si="0"/>
        <v>#REF!</v>
      </c>
    </row>
    <row r="23" spans="1:21" ht="15">
      <c r="A23" s="36" t="s">
        <v>158</v>
      </c>
      <c r="B23" s="36">
        <v>0.35</v>
      </c>
      <c r="D23" s="34">
        <f t="shared" si="1"/>
        <v>0</v>
      </c>
      <c r="E23" s="3">
        <f>COUNTIF(Vertices[Degree],"&gt;= "&amp;D23)-COUNTIF(Vertices[Degree],"&gt;="&amp;D24)</f>
        <v>0</v>
      </c>
      <c r="F23" s="41">
        <f t="shared" si="2"/>
        <v>1.5272727272727276</v>
      </c>
      <c r="G23" s="42">
        <f>COUNTIF(Vertices[In-Degree],"&gt;= "&amp;F23)-COUNTIF(Vertices[In-Degree],"&gt;="&amp;F24)</f>
        <v>0</v>
      </c>
      <c r="H23" s="41">
        <f t="shared" si="3"/>
        <v>0.7636363636363638</v>
      </c>
      <c r="I23" s="42">
        <f>COUNTIF(Vertices[Out-Degree],"&gt;= "&amp;H23)-COUNTIF(Vertices[Out-Degree],"&gt;="&amp;H24)</f>
        <v>0</v>
      </c>
      <c r="J23" s="41">
        <f t="shared" si="4"/>
        <v>1.1454545454545455</v>
      </c>
      <c r="K23" s="42">
        <f>COUNTIF(Vertices[Betweenness Centrality],"&gt;= "&amp;J23)-COUNTIF(Vertices[Betweenness Centrality],"&gt;="&amp;J24)</f>
        <v>0</v>
      </c>
      <c r="L23" s="41">
        <f t="shared" si="5"/>
        <v>0.1984850545454545</v>
      </c>
      <c r="M23" s="42">
        <f>COUNTIF(Vertices[Closeness Centrality],"&gt;= "&amp;L23)-COUNTIF(Vertices[Closeness Centrality],"&gt;="&amp;L24)</f>
        <v>0</v>
      </c>
      <c r="N23" s="41">
        <f t="shared" si="6"/>
        <v>0.1984850545454545</v>
      </c>
      <c r="O23" s="42">
        <f>COUNTIF(Vertices[Eigenvector Centrality],"&gt;= "&amp;N23)-COUNTIF(Vertices[Eigenvector Centrality],"&gt;="&amp;N24)</f>
        <v>0</v>
      </c>
      <c r="P23" s="41">
        <f t="shared" si="7"/>
        <v>0.9880990000000006</v>
      </c>
      <c r="Q23" s="42">
        <f>COUNTIF(Vertices[PageRank],"&gt;= "&amp;P23)-COUNTIF(Vertices[PageRank],"&gt;="&amp;P24)</f>
        <v>0</v>
      </c>
      <c r="R23" s="41">
        <f t="shared" si="8"/>
        <v>0.3454545454545449</v>
      </c>
      <c r="S23" s="46">
        <f>COUNTIF(Vertices[Clustering Coefficient],"&gt;= "&amp;R23)-COUNTIF(Vertices[Clustering Coefficient],"&gt;="&amp;R24)</f>
        <v>0</v>
      </c>
      <c r="T23" s="41" t="e">
        <f ca="1" t="shared" si="9"/>
        <v>#REF!</v>
      </c>
      <c r="U23" s="42" t="e">
        <f ca="1" t="shared" si="0"/>
        <v>#REF!</v>
      </c>
    </row>
    <row r="24" spans="1:21" ht="15">
      <c r="A24" s="36" t="s">
        <v>455</v>
      </c>
      <c r="B24" s="36">
        <v>0</v>
      </c>
      <c r="D24" s="34">
        <f t="shared" si="1"/>
        <v>0</v>
      </c>
      <c r="E24" s="3">
        <f>COUNTIF(Vertices[Degree],"&gt;= "&amp;D24)-COUNTIF(Vertices[Degree],"&gt;="&amp;D25)</f>
        <v>0</v>
      </c>
      <c r="F24" s="39">
        <f t="shared" si="2"/>
        <v>1.6000000000000003</v>
      </c>
      <c r="G24" s="40">
        <f>COUNTIF(Vertices[In-Degree],"&gt;= "&amp;F24)-COUNTIF(Vertices[In-Degree],"&gt;="&amp;F25)</f>
        <v>0</v>
      </c>
      <c r="H24" s="39">
        <f t="shared" si="3"/>
        <v>0.8000000000000002</v>
      </c>
      <c r="I24" s="40">
        <f>COUNTIF(Vertices[Out-Degree],"&gt;= "&amp;H24)-COUNTIF(Vertices[Out-Degree],"&gt;="&amp;H25)</f>
        <v>0</v>
      </c>
      <c r="J24" s="39">
        <f t="shared" si="4"/>
        <v>1.2</v>
      </c>
      <c r="K24" s="40">
        <f>COUNTIF(Vertices[Betweenness Centrality],"&gt;= "&amp;J24)-COUNTIF(Vertices[Betweenness Centrality],"&gt;="&amp;J25)</f>
        <v>0</v>
      </c>
      <c r="L24" s="39">
        <f t="shared" si="5"/>
        <v>0.20000019999999996</v>
      </c>
      <c r="M24" s="40">
        <f>COUNTIF(Vertices[Closeness Centrality],"&gt;= "&amp;L24)-COUNTIF(Vertices[Closeness Centrality],"&gt;="&amp;L25)</f>
        <v>0</v>
      </c>
      <c r="N24" s="39">
        <f t="shared" si="6"/>
        <v>0.20000019999999996</v>
      </c>
      <c r="O24" s="40">
        <f>COUNTIF(Vertices[Eigenvector Centrality],"&gt;= "&amp;N24)-COUNTIF(Vertices[Eigenvector Centrality],"&gt;="&amp;N25)</f>
        <v>0</v>
      </c>
      <c r="P24" s="39">
        <f t="shared" si="7"/>
        <v>0.9998950000000006</v>
      </c>
      <c r="Q24" s="40">
        <f>COUNTIF(Vertices[PageRank],"&gt;= "&amp;P24)-COUNTIF(Vertices[PageRank],"&gt;="&amp;P25)</f>
        <v>0</v>
      </c>
      <c r="R24" s="39">
        <f t="shared" si="8"/>
        <v>0.3499999999999994</v>
      </c>
      <c r="S24" s="45">
        <f>COUNTIF(Vertices[Clustering Coefficient],"&gt;= "&amp;R24)-COUNTIF(Vertices[Clustering Coefficient],"&gt;="&amp;R25)</f>
        <v>0</v>
      </c>
      <c r="T24" s="39" t="e">
        <f ca="1" t="shared" si="9"/>
        <v>#REF!</v>
      </c>
      <c r="U24" s="40" t="e">
        <f ca="1" t="shared" si="0"/>
        <v>#REF!</v>
      </c>
    </row>
    <row r="25" spans="1:21" ht="15">
      <c r="A25" s="129"/>
      <c r="B25" s="129"/>
      <c r="D25" s="34">
        <f t="shared" si="1"/>
        <v>0</v>
      </c>
      <c r="E25" s="3">
        <f>COUNTIF(Vertices[Degree],"&gt;= "&amp;D25)-COUNTIF(Vertices[Degree],"&gt;="&amp;D26)</f>
        <v>0</v>
      </c>
      <c r="F25" s="41">
        <f t="shared" si="2"/>
        <v>1.672727272727273</v>
      </c>
      <c r="G25" s="42">
        <f>COUNTIF(Vertices[In-Degree],"&gt;= "&amp;F25)-COUNTIF(Vertices[In-Degree],"&gt;="&amp;F26)</f>
        <v>0</v>
      </c>
      <c r="H25" s="41">
        <f t="shared" si="3"/>
        <v>0.8363636363636365</v>
      </c>
      <c r="I25" s="42">
        <f>COUNTIF(Vertices[Out-Degree],"&gt;= "&amp;H25)-COUNTIF(Vertices[Out-Degree],"&gt;="&amp;H26)</f>
        <v>0</v>
      </c>
      <c r="J25" s="41">
        <f t="shared" si="4"/>
        <v>1.2545454545454544</v>
      </c>
      <c r="K25" s="42">
        <f>COUNTIF(Vertices[Betweenness Centrality],"&gt;= "&amp;J25)-COUNTIF(Vertices[Betweenness Centrality],"&gt;="&amp;J26)</f>
        <v>0</v>
      </c>
      <c r="L25" s="41">
        <f t="shared" si="5"/>
        <v>0.2015153454545454</v>
      </c>
      <c r="M25" s="42">
        <f>COUNTIF(Vertices[Closeness Centrality],"&gt;= "&amp;L25)-COUNTIF(Vertices[Closeness Centrality],"&gt;="&amp;L26)</f>
        <v>0</v>
      </c>
      <c r="N25" s="41">
        <f t="shared" si="6"/>
        <v>0.2015153454545454</v>
      </c>
      <c r="O25" s="42">
        <f>COUNTIF(Vertices[Eigenvector Centrality],"&gt;= "&amp;N25)-COUNTIF(Vertices[Eigenvector Centrality],"&gt;="&amp;N26)</f>
        <v>0</v>
      </c>
      <c r="P25" s="41">
        <f t="shared" si="7"/>
        <v>1.0116910000000006</v>
      </c>
      <c r="Q25" s="42">
        <f>COUNTIF(Vertices[PageRank],"&gt;= "&amp;P25)-COUNTIF(Vertices[PageRank],"&gt;="&amp;P26)</f>
        <v>0</v>
      </c>
      <c r="R25" s="41">
        <f t="shared" si="8"/>
        <v>0.35454545454545394</v>
      </c>
      <c r="S25" s="46">
        <f>COUNTIF(Vertices[Clustering Coefficient],"&gt;= "&amp;R25)-COUNTIF(Vertices[Clustering Coefficient],"&gt;="&amp;R26)</f>
        <v>0</v>
      </c>
      <c r="T25" s="41" t="e">
        <f ca="1" t="shared" si="9"/>
        <v>#REF!</v>
      </c>
      <c r="U25" s="42" t="e">
        <f ca="1" t="shared" si="0"/>
        <v>#REF!</v>
      </c>
    </row>
    <row r="26" spans="1:21" ht="15">
      <c r="A26" s="36" t="s">
        <v>456</v>
      </c>
      <c r="B26" s="36" t="s">
        <v>466</v>
      </c>
      <c r="D26" s="34">
        <f t="shared" si="1"/>
        <v>0</v>
      </c>
      <c r="E26" s="3">
        <f>COUNTIF(Vertices[Degree],"&gt;= "&amp;D26)-COUNTIF(Vertices[Degree],"&gt;="&amp;D28)</f>
        <v>0</v>
      </c>
      <c r="F26" s="39">
        <f t="shared" si="2"/>
        <v>1.7454545454545458</v>
      </c>
      <c r="G26" s="40">
        <f>COUNTIF(Vertices[In-Degree],"&gt;= "&amp;F26)-COUNTIF(Vertices[In-Degree],"&gt;="&amp;F28)</f>
        <v>0</v>
      </c>
      <c r="H26" s="39">
        <f t="shared" si="3"/>
        <v>0.8727272727272729</v>
      </c>
      <c r="I26" s="40">
        <f>COUNTIF(Vertices[Out-Degree],"&gt;= "&amp;H26)-COUNTIF(Vertices[Out-Degree],"&gt;="&amp;H28)</f>
        <v>0</v>
      </c>
      <c r="J26" s="39">
        <f t="shared" si="4"/>
        <v>1.3090909090909089</v>
      </c>
      <c r="K26" s="40">
        <f>COUNTIF(Vertices[Betweenness Centrality],"&gt;= "&amp;J26)-COUNTIF(Vertices[Betweenness Centrality],"&gt;="&amp;J28)</f>
        <v>0</v>
      </c>
      <c r="L26" s="39">
        <f t="shared" si="5"/>
        <v>0.20303049090909087</v>
      </c>
      <c r="M26" s="40">
        <f>COUNTIF(Vertices[Closeness Centrality],"&gt;= "&amp;L26)-COUNTIF(Vertices[Closeness Centrality],"&gt;="&amp;L28)</f>
        <v>0</v>
      </c>
      <c r="N26" s="39">
        <f t="shared" si="6"/>
        <v>0.20303049090909087</v>
      </c>
      <c r="O26" s="40">
        <f>COUNTIF(Vertices[Eigenvector Centrality],"&gt;= "&amp;N26)-COUNTIF(Vertices[Eigenvector Centrality],"&gt;="&amp;N28)</f>
        <v>0</v>
      </c>
      <c r="P26" s="39">
        <f t="shared" si="7"/>
        <v>1.0234870000000005</v>
      </c>
      <c r="Q26" s="40">
        <f>COUNTIF(Vertices[PageRank],"&gt;= "&amp;P26)-COUNTIF(Vertices[PageRank],"&gt;="&amp;P28)</f>
        <v>0</v>
      </c>
      <c r="R26" s="39">
        <f t="shared" si="8"/>
        <v>0.35909090909090846</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129"/>
      <c r="B27" s="129"/>
      <c r="D27" s="34"/>
      <c r="E27" s="3">
        <f>COUNTIF(Vertices[Degree],"&gt;= "&amp;D27)-COUNTIF(Vertices[Degree],"&gt;="&amp;D28)</f>
        <v>0</v>
      </c>
      <c r="F27" s="79"/>
      <c r="G27" s="80">
        <f>COUNTIF(Vertices[In-Degree],"&gt;= "&amp;F27)-COUNTIF(Vertices[In-Degree],"&gt;="&amp;F28)</f>
        <v>-2</v>
      </c>
      <c r="H27" s="79"/>
      <c r="I27" s="80">
        <f>COUNTIF(Vertices[Out-Degree],"&gt;= "&amp;H27)-COUNTIF(Vertices[Out-Degree],"&gt;="&amp;H28)</f>
        <v>-4</v>
      </c>
      <c r="J27" s="79"/>
      <c r="K27" s="80">
        <f>COUNTIF(Vertices[Betweenness Centrality],"&gt;= "&amp;J27)-COUNTIF(Vertices[Betweenness Centrality],"&gt;="&amp;J28)</f>
        <v>-2</v>
      </c>
      <c r="L27" s="79"/>
      <c r="M27" s="80">
        <f>COUNTIF(Vertices[Closeness Centrality],"&gt;= "&amp;L27)-COUNTIF(Vertices[Closeness Centrality],"&gt;="&amp;L28)</f>
        <v>-2</v>
      </c>
      <c r="N27" s="79"/>
      <c r="O27" s="80">
        <f>COUNTIF(Vertices[Eigenvector Centrality],"&gt;= "&amp;N27)-COUNTIF(Vertices[Eigenvector Centrality],"&gt;="&amp;N28)</f>
        <v>-2</v>
      </c>
      <c r="P27" s="79"/>
      <c r="Q27" s="80">
        <f>COUNTIF(Vertices[Eigenvector Centrality],"&gt;= "&amp;P27)-COUNTIF(Vertices[Eigenvector Centrality],"&gt;="&amp;P28)</f>
        <v>0</v>
      </c>
      <c r="R27" s="79"/>
      <c r="S27" s="81">
        <f>COUNTIF(Vertices[Clustering Coefficient],"&gt;= "&amp;R27)-COUNTIF(Vertices[Clustering Coefficient],"&gt;="&amp;R28)</f>
        <v>-3</v>
      </c>
      <c r="T27" s="79"/>
      <c r="U27" s="80">
        <f ca="1">COUNTIF(Vertices[Clustering Coefficient],"&gt;= "&amp;T27)-COUNTIF(Vertices[Clustering Coefficient],"&gt;="&amp;T28)</f>
        <v>0</v>
      </c>
    </row>
    <row r="28" spans="1:21" ht="15">
      <c r="A28" s="36" t="s">
        <v>457</v>
      </c>
      <c r="B28" s="36" t="s">
        <v>85</v>
      </c>
      <c r="D28" s="34">
        <f>D26+($D$57-$D$2)/BinDivisor</f>
        <v>0</v>
      </c>
      <c r="E28" s="3">
        <f>COUNTIF(Vertices[Degree],"&gt;= "&amp;D28)-COUNTIF(Vertices[Degree],"&gt;="&amp;D40)</f>
        <v>0</v>
      </c>
      <c r="F28" s="41">
        <f>F26+($F$57-$F$2)/BinDivisor</f>
        <v>1.8181818181818186</v>
      </c>
      <c r="G28" s="42">
        <f>COUNTIF(Vertices[In-Degree],"&gt;= "&amp;F28)-COUNTIF(Vertices[In-Degree],"&gt;="&amp;F40)</f>
        <v>0</v>
      </c>
      <c r="H28" s="41">
        <f>H26+($H$57-$H$2)/BinDivisor</f>
        <v>0.9090909090909093</v>
      </c>
      <c r="I28" s="42">
        <f>COUNTIF(Vertices[Out-Degree],"&gt;= "&amp;H28)-COUNTIF(Vertices[Out-Degree],"&gt;="&amp;H40)</f>
        <v>0</v>
      </c>
      <c r="J28" s="41">
        <f>J26+($J$57-$J$2)/BinDivisor</f>
        <v>1.3636363636363633</v>
      </c>
      <c r="K28" s="42">
        <f>COUNTIF(Vertices[Betweenness Centrality],"&gt;= "&amp;J28)-COUNTIF(Vertices[Betweenness Centrality],"&gt;="&amp;J40)</f>
        <v>0</v>
      </c>
      <c r="L28" s="41">
        <f>L26+($L$57-$L$2)/BinDivisor</f>
        <v>0.20454563636363632</v>
      </c>
      <c r="M28" s="42">
        <f>COUNTIF(Vertices[Closeness Centrality],"&gt;= "&amp;L28)-COUNTIF(Vertices[Closeness Centrality],"&gt;="&amp;L40)</f>
        <v>0</v>
      </c>
      <c r="N28" s="41">
        <f>N26+($N$57-$N$2)/BinDivisor</f>
        <v>0.20454563636363632</v>
      </c>
      <c r="O28" s="42">
        <f>COUNTIF(Vertices[Eigenvector Centrality],"&gt;= "&amp;N28)-COUNTIF(Vertices[Eigenvector Centrality],"&gt;="&amp;N40)</f>
        <v>0</v>
      </c>
      <c r="P28" s="41">
        <f>P26+($P$57-$P$2)/BinDivisor</f>
        <v>1.0352830000000004</v>
      </c>
      <c r="Q28" s="42">
        <f>COUNTIF(Vertices[PageRank],"&gt;= "&amp;P28)-COUNTIF(Vertices[PageRank],"&gt;="&amp;P40)</f>
        <v>0</v>
      </c>
      <c r="R28" s="41">
        <f>R26+($R$57-$R$2)/BinDivisor</f>
        <v>0.363636363636363</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1:21" ht="15">
      <c r="A29" s="129"/>
      <c r="B29" s="129"/>
      <c r="D29" s="34"/>
      <c r="E29" s="3">
        <f>COUNTIF(Vertices[Degree],"&gt;= "&amp;D29)-COUNTIF(Vertices[Degree],"&gt;="&amp;D30)</f>
        <v>0</v>
      </c>
      <c r="F29" s="79"/>
      <c r="G29" s="80">
        <f>COUNTIF(Vertices[In-Degree],"&gt;= "&amp;F29)-COUNTIF(Vertices[In-Degree],"&gt;="&amp;F30)</f>
        <v>0</v>
      </c>
      <c r="H29" s="79"/>
      <c r="I29" s="80">
        <f>COUNTIF(Vertices[Out-Degree],"&gt;= "&amp;H29)-COUNTIF(Vertices[Out-Degree],"&gt;="&amp;H30)</f>
        <v>0</v>
      </c>
      <c r="J29" s="79"/>
      <c r="K29" s="80">
        <f>COUNTIF(Vertices[Betweenness Centrality],"&gt;= "&amp;J29)-COUNTIF(Vertices[Betweenness Centrality],"&gt;="&amp;J30)</f>
        <v>0</v>
      </c>
      <c r="L29" s="79"/>
      <c r="M29" s="80">
        <f>COUNTIF(Vertices[Closeness Centrality],"&gt;= "&amp;L29)-COUNTIF(Vertices[Closeness Centrality],"&gt;="&amp;L30)</f>
        <v>0</v>
      </c>
      <c r="N29" s="79"/>
      <c r="O29" s="80">
        <f>COUNTIF(Vertices[Eigenvector Centrality],"&gt;= "&amp;N29)-COUNTIF(Vertices[Eigenvector Centrality],"&gt;="&amp;N30)</f>
        <v>0</v>
      </c>
      <c r="P29" s="79"/>
      <c r="Q29" s="80">
        <f>COUNTIF(Vertices[Eigenvector Centrality],"&gt;= "&amp;P29)-COUNTIF(Vertices[Eigenvector Centrality],"&gt;="&amp;P30)</f>
        <v>0</v>
      </c>
      <c r="R29" s="79"/>
      <c r="S29" s="81">
        <f>COUNTIF(Vertices[Clustering Coefficient],"&gt;= "&amp;R29)-COUNTIF(Vertices[Clustering Coefficient],"&gt;="&amp;R30)</f>
        <v>0</v>
      </c>
      <c r="T29" s="79"/>
      <c r="U29" s="80">
        <f>COUNTIF(Vertices[Clustering Coefficient],"&gt;= "&amp;T29)-COUNTIF(Vertices[Clustering Coefficient],"&gt;="&amp;T30)</f>
        <v>0</v>
      </c>
    </row>
    <row r="30" spans="1:21" ht="15">
      <c r="A30" s="36" t="s">
        <v>458</v>
      </c>
      <c r="B30" s="36" t="s">
        <v>85</v>
      </c>
      <c r="D30" s="34"/>
      <c r="E30" s="3">
        <f>COUNTIF(Vertices[Degree],"&gt;= "&amp;D30)-COUNTIF(Vertices[Degree],"&gt;="&amp;D31)</f>
        <v>0</v>
      </c>
      <c r="F30" s="79"/>
      <c r="G30" s="80">
        <f>COUNTIF(Vertices[In-Degree],"&gt;= "&amp;F30)-COUNTIF(Vertices[In-Degree],"&gt;="&amp;F31)</f>
        <v>0</v>
      </c>
      <c r="H30" s="79"/>
      <c r="I30" s="80">
        <f>COUNTIF(Vertices[Out-Degree],"&gt;= "&amp;H30)-COUNTIF(Vertices[Out-Degree],"&gt;="&amp;H31)</f>
        <v>0</v>
      </c>
      <c r="J30" s="79"/>
      <c r="K30" s="80">
        <f>COUNTIF(Vertices[Betweenness Centrality],"&gt;= "&amp;J30)-COUNTIF(Vertices[Betweenness Centrality],"&gt;="&amp;J31)</f>
        <v>0</v>
      </c>
      <c r="L30" s="79"/>
      <c r="M30" s="80">
        <f>COUNTIF(Vertices[Closeness Centrality],"&gt;= "&amp;L30)-COUNTIF(Vertices[Closeness Centrality],"&gt;="&amp;L31)</f>
        <v>0</v>
      </c>
      <c r="N30" s="79"/>
      <c r="O30" s="80">
        <f>COUNTIF(Vertices[Eigenvector Centrality],"&gt;= "&amp;N30)-COUNTIF(Vertices[Eigenvector Centrality],"&gt;="&amp;N31)</f>
        <v>0</v>
      </c>
      <c r="P30" s="79"/>
      <c r="Q30" s="80">
        <f>COUNTIF(Vertices[Eigenvector Centrality],"&gt;= "&amp;P30)-COUNTIF(Vertices[Eigenvector Centrality],"&gt;="&amp;P31)</f>
        <v>0</v>
      </c>
      <c r="R30" s="79"/>
      <c r="S30" s="81">
        <f>COUNTIF(Vertices[Clustering Coefficient],"&gt;= "&amp;R30)-COUNTIF(Vertices[Clustering Coefficient],"&gt;="&amp;R31)</f>
        <v>0</v>
      </c>
      <c r="T30" s="79"/>
      <c r="U30" s="80">
        <f>COUNTIF(Vertices[Clustering Coefficient],"&gt;= "&amp;T30)-COUNTIF(Vertices[Clustering Coefficient],"&gt;="&amp;T31)</f>
        <v>0</v>
      </c>
    </row>
    <row r="31" spans="1:21" ht="15">
      <c r="A31" s="36" t="s">
        <v>459</v>
      </c>
      <c r="B31" s="36" t="s">
        <v>85</v>
      </c>
      <c r="D31" s="34"/>
      <c r="E31" s="3">
        <f>COUNTIF(Vertices[Degree],"&gt;= "&amp;D31)-COUNTIF(Vertices[Degree],"&gt;="&amp;D32)</f>
        <v>0</v>
      </c>
      <c r="F31" s="79"/>
      <c r="G31" s="80">
        <f>COUNTIF(Vertices[In-Degree],"&gt;= "&amp;F31)-COUNTIF(Vertices[In-Degree],"&gt;="&amp;F32)</f>
        <v>0</v>
      </c>
      <c r="H31" s="79"/>
      <c r="I31" s="80">
        <f>COUNTIF(Vertices[Out-Degree],"&gt;= "&amp;H31)-COUNTIF(Vertices[Out-Degree],"&gt;="&amp;H32)</f>
        <v>0</v>
      </c>
      <c r="J31" s="79"/>
      <c r="K31" s="80">
        <f>COUNTIF(Vertices[Betweenness Centrality],"&gt;= "&amp;J31)-COUNTIF(Vertices[Betweenness Centrality],"&gt;="&amp;J32)</f>
        <v>0</v>
      </c>
      <c r="L31" s="79"/>
      <c r="M31" s="80">
        <f>COUNTIF(Vertices[Closeness Centrality],"&gt;= "&amp;L31)-COUNTIF(Vertices[Closeness Centrality],"&gt;="&amp;L32)</f>
        <v>0</v>
      </c>
      <c r="N31" s="79"/>
      <c r="O31" s="80">
        <f>COUNTIF(Vertices[Eigenvector Centrality],"&gt;= "&amp;N31)-COUNTIF(Vertices[Eigenvector Centrality],"&gt;="&amp;N32)</f>
        <v>0</v>
      </c>
      <c r="P31" s="79"/>
      <c r="Q31" s="80">
        <f>COUNTIF(Vertices[Eigenvector Centrality],"&gt;= "&amp;P31)-COUNTIF(Vertices[Eigenvector Centrality],"&gt;="&amp;P32)</f>
        <v>0</v>
      </c>
      <c r="R31" s="79"/>
      <c r="S31" s="81">
        <f>COUNTIF(Vertices[Clustering Coefficient],"&gt;= "&amp;R31)-COUNTIF(Vertices[Clustering Coefficient],"&gt;="&amp;R32)</f>
        <v>0</v>
      </c>
      <c r="T31" s="79"/>
      <c r="U31" s="80">
        <f>COUNTIF(Vertices[Clustering Coefficient],"&gt;= "&amp;T31)-COUNTIF(Vertices[Clustering Coefficient],"&gt;="&amp;T32)</f>
        <v>0</v>
      </c>
    </row>
    <row r="32" spans="1:21" ht="15">
      <c r="A32" s="36" t="s">
        <v>460</v>
      </c>
      <c r="B32" s="36" t="s">
        <v>85</v>
      </c>
      <c r="D32" s="34"/>
      <c r="E32" s="3">
        <f>COUNTIF(Vertices[Degree],"&gt;= "&amp;D32)-COUNTIF(Vertices[Degree],"&gt;="&amp;D33)</f>
        <v>0</v>
      </c>
      <c r="F32" s="79"/>
      <c r="G32" s="80">
        <f>COUNTIF(Vertices[In-Degree],"&gt;= "&amp;F32)-COUNTIF(Vertices[In-Degree],"&gt;="&amp;F33)</f>
        <v>0</v>
      </c>
      <c r="H32" s="79"/>
      <c r="I32" s="80">
        <f>COUNTIF(Vertices[Out-Degree],"&gt;= "&amp;H32)-COUNTIF(Vertices[Out-Degree],"&gt;="&amp;H33)</f>
        <v>0</v>
      </c>
      <c r="J32" s="79"/>
      <c r="K32" s="80">
        <f>COUNTIF(Vertices[Betweenness Centrality],"&gt;= "&amp;J32)-COUNTIF(Vertices[Betweenness Centrality],"&gt;="&amp;J33)</f>
        <v>0</v>
      </c>
      <c r="L32" s="79"/>
      <c r="M32" s="80">
        <f>COUNTIF(Vertices[Closeness Centrality],"&gt;= "&amp;L32)-COUNTIF(Vertices[Closeness Centrality],"&gt;="&amp;L33)</f>
        <v>0</v>
      </c>
      <c r="N32" s="79"/>
      <c r="O32" s="80">
        <f>COUNTIF(Vertices[Eigenvector Centrality],"&gt;= "&amp;N32)-COUNTIF(Vertices[Eigenvector Centrality],"&gt;="&amp;N33)</f>
        <v>0</v>
      </c>
      <c r="P32" s="79"/>
      <c r="Q32" s="80">
        <f>COUNTIF(Vertices[Eigenvector Centrality],"&gt;= "&amp;P32)-COUNTIF(Vertices[Eigenvector Centrality],"&gt;="&amp;P33)</f>
        <v>0</v>
      </c>
      <c r="R32" s="79"/>
      <c r="S32" s="81">
        <f>COUNTIF(Vertices[Clustering Coefficient],"&gt;= "&amp;R32)-COUNTIF(Vertices[Clustering Coefficient],"&gt;="&amp;R33)</f>
        <v>0</v>
      </c>
      <c r="T32" s="79"/>
      <c r="U32" s="80">
        <f>COUNTIF(Vertices[Clustering Coefficient],"&gt;= "&amp;T32)-COUNTIF(Vertices[Clustering Coefficient],"&gt;="&amp;T33)</f>
        <v>0</v>
      </c>
    </row>
    <row r="33" spans="1:21" ht="15">
      <c r="A33" s="36" t="s">
        <v>454</v>
      </c>
      <c r="B33" s="36" t="s">
        <v>85</v>
      </c>
      <c r="D33" s="34"/>
      <c r="E33" s="3">
        <f>COUNTIF(Vertices[Degree],"&gt;= "&amp;D33)-COUNTIF(Vertices[Degree],"&gt;="&amp;D38)</f>
        <v>0</v>
      </c>
      <c r="F33" s="79"/>
      <c r="G33" s="80">
        <f>COUNTIF(Vertices[In-Degree],"&gt;= "&amp;F33)-COUNTIF(Vertices[In-Degree],"&gt;="&amp;F38)</f>
        <v>0</v>
      </c>
      <c r="H33" s="79"/>
      <c r="I33" s="80">
        <f>COUNTIF(Vertices[Out-Degree],"&gt;= "&amp;H33)-COUNTIF(Vertices[Out-Degree],"&gt;="&amp;H38)</f>
        <v>0</v>
      </c>
      <c r="J33" s="79"/>
      <c r="K33" s="80">
        <f>COUNTIF(Vertices[Betweenness Centrality],"&gt;= "&amp;J33)-COUNTIF(Vertices[Betweenness Centrality],"&gt;="&amp;J38)</f>
        <v>0</v>
      </c>
      <c r="L33" s="79"/>
      <c r="M33" s="80">
        <f>COUNTIF(Vertices[Closeness Centrality],"&gt;= "&amp;L33)-COUNTIF(Vertices[Closeness Centrality],"&gt;="&amp;L38)</f>
        <v>0</v>
      </c>
      <c r="N33" s="79"/>
      <c r="O33" s="80">
        <f>COUNTIF(Vertices[Eigenvector Centrality],"&gt;= "&amp;N33)-COUNTIF(Vertices[Eigenvector Centrality],"&gt;="&amp;N38)</f>
        <v>0</v>
      </c>
      <c r="P33" s="79"/>
      <c r="Q33" s="80">
        <f>COUNTIF(Vertices[Eigenvector Centrality],"&gt;= "&amp;P33)-COUNTIF(Vertices[Eigenvector Centrality],"&gt;="&amp;P38)</f>
        <v>0</v>
      </c>
      <c r="R33" s="79"/>
      <c r="S33" s="81">
        <f>COUNTIF(Vertices[Clustering Coefficient],"&gt;= "&amp;R33)-COUNTIF(Vertices[Clustering Coefficient],"&gt;="&amp;R38)</f>
        <v>0</v>
      </c>
      <c r="T33" s="79"/>
      <c r="U33" s="80">
        <f>COUNTIF(Vertices[Clustering Coefficient],"&gt;= "&amp;T33)-COUNTIF(Vertices[Clustering Coefficient],"&gt;="&amp;T38)</f>
        <v>0</v>
      </c>
    </row>
    <row r="34" spans="1:21" ht="15">
      <c r="A34" s="36" t="s">
        <v>461</v>
      </c>
      <c r="B34" s="36" t="s">
        <v>85</v>
      </c>
      <c r="D34" s="34"/>
      <c r="E34" s="3">
        <f>COUNTIF(Vertices[Degree],"&gt;= "&amp;D34)-COUNTIF(Vertices[Degree],"&gt;="&amp;D35)</f>
        <v>0</v>
      </c>
      <c r="F34" s="79"/>
      <c r="G34" s="80">
        <f>COUNTIF(Vertices[In-Degree],"&gt;= "&amp;F34)-COUNTIF(Vertices[In-Degree],"&gt;="&amp;F35)</f>
        <v>0</v>
      </c>
      <c r="H34" s="79"/>
      <c r="I34" s="80">
        <f>COUNTIF(Vertices[Out-Degree],"&gt;= "&amp;H34)-COUNTIF(Vertices[Out-Degree],"&gt;="&amp;H35)</f>
        <v>0</v>
      </c>
      <c r="J34" s="79"/>
      <c r="K34" s="80">
        <f>COUNTIF(Vertices[Betweenness Centrality],"&gt;= "&amp;J34)-COUNTIF(Vertices[Betweenness Centrality],"&gt;="&amp;J35)</f>
        <v>0</v>
      </c>
      <c r="L34" s="79"/>
      <c r="M34" s="80">
        <f>COUNTIF(Vertices[Closeness Centrality],"&gt;= "&amp;L34)-COUNTIF(Vertices[Closeness Centrality],"&gt;="&amp;L35)</f>
        <v>0</v>
      </c>
      <c r="N34" s="79"/>
      <c r="O34" s="80">
        <f>COUNTIF(Vertices[Eigenvector Centrality],"&gt;= "&amp;N34)-COUNTIF(Vertices[Eigenvector Centrality],"&gt;="&amp;N35)</f>
        <v>0</v>
      </c>
      <c r="P34" s="79"/>
      <c r="Q34" s="80">
        <f>COUNTIF(Vertices[Eigenvector Centrality],"&gt;= "&amp;P34)-COUNTIF(Vertices[Eigenvector Centrality],"&gt;="&amp;P35)</f>
        <v>0</v>
      </c>
      <c r="R34" s="79"/>
      <c r="S34" s="81">
        <f>COUNTIF(Vertices[Clustering Coefficient],"&gt;= "&amp;R34)-COUNTIF(Vertices[Clustering Coefficient],"&gt;="&amp;R35)</f>
        <v>0</v>
      </c>
      <c r="T34" s="79"/>
      <c r="U34" s="80">
        <f>COUNTIF(Vertices[Clustering Coefficient],"&gt;= "&amp;T34)-COUNTIF(Vertices[Clustering Coefficient],"&gt;="&amp;T35)</f>
        <v>0</v>
      </c>
    </row>
    <row r="35" spans="1:21" ht="15">
      <c r="A35" s="36" t="s">
        <v>462</v>
      </c>
      <c r="B35" s="36" t="s">
        <v>85</v>
      </c>
      <c r="D35" s="34"/>
      <c r="E35" s="3">
        <f>COUNTIF(Vertices[Degree],"&gt;= "&amp;D35)-COUNTIF(Vertices[Degree],"&gt;="&amp;D36)</f>
        <v>0</v>
      </c>
      <c r="F35" s="79"/>
      <c r="G35" s="80">
        <f>COUNTIF(Vertices[In-Degree],"&gt;= "&amp;F35)-COUNTIF(Vertices[In-Degree],"&gt;="&amp;F36)</f>
        <v>0</v>
      </c>
      <c r="H35" s="79"/>
      <c r="I35" s="80">
        <f>COUNTIF(Vertices[Out-Degree],"&gt;= "&amp;H35)-COUNTIF(Vertices[Out-Degree],"&gt;="&amp;H36)</f>
        <v>0</v>
      </c>
      <c r="J35" s="79"/>
      <c r="K35" s="80">
        <f>COUNTIF(Vertices[Betweenness Centrality],"&gt;= "&amp;J35)-COUNTIF(Vertices[Betweenness Centrality],"&gt;="&amp;J36)</f>
        <v>0</v>
      </c>
      <c r="L35" s="79"/>
      <c r="M35" s="80">
        <f>COUNTIF(Vertices[Closeness Centrality],"&gt;= "&amp;L35)-COUNTIF(Vertices[Closeness Centrality],"&gt;="&amp;L36)</f>
        <v>0</v>
      </c>
      <c r="N35" s="79"/>
      <c r="O35" s="80">
        <f>COUNTIF(Vertices[Eigenvector Centrality],"&gt;= "&amp;N35)-COUNTIF(Vertices[Eigenvector Centrality],"&gt;="&amp;N36)</f>
        <v>0</v>
      </c>
      <c r="P35" s="79"/>
      <c r="Q35" s="80">
        <f>COUNTIF(Vertices[Eigenvector Centrality],"&gt;= "&amp;P35)-COUNTIF(Vertices[Eigenvector Centrality],"&gt;="&amp;P36)</f>
        <v>0</v>
      </c>
      <c r="R35" s="79"/>
      <c r="S35" s="81">
        <f>COUNTIF(Vertices[Clustering Coefficient],"&gt;= "&amp;R35)-COUNTIF(Vertices[Clustering Coefficient],"&gt;="&amp;R36)</f>
        <v>0</v>
      </c>
      <c r="T35" s="79"/>
      <c r="U35" s="80">
        <f>COUNTIF(Vertices[Clustering Coefficient],"&gt;= "&amp;T35)-COUNTIF(Vertices[Clustering Coefficient],"&gt;="&amp;T36)</f>
        <v>0</v>
      </c>
    </row>
    <row r="36" spans="1:21" ht="15">
      <c r="A36" s="36" t="s">
        <v>463</v>
      </c>
      <c r="B36" s="36" t="s">
        <v>85</v>
      </c>
      <c r="D36" s="34"/>
      <c r="E36" s="3">
        <f>COUNTIF(Vertices[Degree],"&gt;= "&amp;D36)-COUNTIF(Vertices[Degree],"&gt;="&amp;D37)</f>
        <v>0</v>
      </c>
      <c r="F36" s="79"/>
      <c r="G36" s="80">
        <f>COUNTIF(Vertices[In-Degree],"&gt;= "&amp;F36)-COUNTIF(Vertices[In-Degree],"&gt;="&amp;F37)</f>
        <v>0</v>
      </c>
      <c r="H36" s="79"/>
      <c r="I36" s="80">
        <f>COUNTIF(Vertices[Out-Degree],"&gt;= "&amp;H36)-COUNTIF(Vertices[Out-Degree],"&gt;="&amp;H37)</f>
        <v>0</v>
      </c>
      <c r="J36" s="79"/>
      <c r="K36" s="80">
        <f>COUNTIF(Vertices[Betweenness Centrality],"&gt;= "&amp;J36)-COUNTIF(Vertices[Betweenness Centrality],"&gt;="&amp;J37)</f>
        <v>0</v>
      </c>
      <c r="L36" s="79"/>
      <c r="M36" s="80">
        <f>COUNTIF(Vertices[Closeness Centrality],"&gt;= "&amp;L36)-COUNTIF(Vertices[Closeness Centrality],"&gt;="&amp;L37)</f>
        <v>0</v>
      </c>
      <c r="N36" s="79"/>
      <c r="O36" s="80">
        <f>COUNTIF(Vertices[Eigenvector Centrality],"&gt;= "&amp;N36)-COUNTIF(Vertices[Eigenvector Centrality],"&gt;="&amp;N37)</f>
        <v>0</v>
      </c>
      <c r="P36" s="79"/>
      <c r="Q36" s="80">
        <f>COUNTIF(Vertices[Eigenvector Centrality],"&gt;= "&amp;P36)-COUNTIF(Vertices[Eigenvector Centrality],"&gt;="&amp;P37)</f>
        <v>0</v>
      </c>
      <c r="R36" s="79"/>
      <c r="S36" s="81">
        <f>COUNTIF(Vertices[Clustering Coefficient],"&gt;= "&amp;R36)-COUNTIF(Vertices[Clustering Coefficient],"&gt;="&amp;R37)</f>
        <v>0</v>
      </c>
      <c r="T36" s="79"/>
      <c r="U36" s="80">
        <f>COUNTIF(Vertices[Clustering Coefficient],"&gt;= "&amp;T36)-COUNTIF(Vertices[Clustering Coefficient],"&gt;="&amp;T37)</f>
        <v>0</v>
      </c>
    </row>
    <row r="37" spans="1:21" ht="15">
      <c r="A37" s="36" t="s">
        <v>464</v>
      </c>
      <c r="B37" s="36" t="s">
        <v>85</v>
      </c>
      <c r="D37" s="34"/>
      <c r="E37" s="3">
        <f>COUNTIF(Vertices[Degree],"&gt;= "&amp;D37)-COUNTIF(Vertices[Degree],"&gt;="&amp;D38)</f>
        <v>0</v>
      </c>
      <c r="F37" s="79"/>
      <c r="G37" s="80">
        <f>COUNTIF(Vertices[In-Degree],"&gt;= "&amp;F37)-COUNTIF(Vertices[In-Degree],"&gt;="&amp;F38)</f>
        <v>0</v>
      </c>
      <c r="H37" s="79"/>
      <c r="I37" s="80">
        <f>COUNTIF(Vertices[Out-Degree],"&gt;= "&amp;H37)-COUNTIF(Vertices[Out-Degree],"&gt;="&amp;H38)</f>
        <v>0</v>
      </c>
      <c r="J37" s="79"/>
      <c r="K37" s="80">
        <f>COUNTIF(Vertices[Betweenness Centrality],"&gt;= "&amp;J37)-COUNTIF(Vertices[Betweenness Centrality],"&gt;="&amp;J38)</f>
        <v>0</v>
      </c>
      <c r="L37" s="79"/>
      <c r="M37" s="80">
        <f>COUNTIF(Vertices[Closeness Centrality],"&gt;= "&amp;L37)-COUNTIF(Vertices[Closeness Centrality],"&gt;="&amp;L38)</f>
        <v>0</v>
      </c>
      <c r="N37" s="79"/>
      <c r="O37" s="80">
        <f>COUNTIF(Vertices[Eigenvector Centrality],"&gt;= "&amp;N37)-COUNTIF(Vertices[Eigenvector Centrality],"&gt;="&amp;N38)</f>
        <v>0</v>
      </c>
      <c r="P37" s="79"/>
      <c r="Q37" s="80">
        <f>COUNTIF(Vertices[Eigenvector Centrality],"&gt;= "&amp;P37)-COUNTIF(Vertices[Eigenvector Centrality],"&gt;="&amp;P38)</f>
        <v>0</v>
      </c>
      <c r="R37" s="79"/>
      <c r="S37" s="81">
        <f>COUNTIF(Vertices[Clustering Coefficient],"&gt;= "&amp;R37)-COUNTIF(Vertices[Clustering Coefficient],"&gt;="&amp;R38)</f>
        <v>0</v>
      </c>
      <c r="T37" s="79"/>
      <c r="U37" s="80">
        <f>COUNTIF(Vertices[Clustering Coefficient],"&gt;= "&amp;T37)-COUNTIF(Vertices[Clustering Coefficient],"&gt;="&amp;T38)</f>
        <v>0</v>
      </c>
    </row>
    <row r="38" spans="1:21" ht="15">
      <c r="A38" s="36" t="s">
        <v>465</v>
      </c>
      <c r="B38" s="36" t="s">
        <v>85</v>
      </c>
      <c r="D38" s="34"/>
      <c r="E38" s="3">
        <f>COUNTIF(Vertices[Degree],"&gt;= "&amp;D38)-COUNTIF(Vertices[Degree],"&gt;="&amp;D40)</f>
        <v>0</v>
      </c>
      <c r="F38" s="79"/>
      <c r="G38" s="80">
        <f>COUNTIF(Vertices[In-Degree],"&gt;= "&amp;F38)-COUNTIF(Vertices[In-Degree],"&gt;="&amp;F40)</f>
        <v>-2</v>
      </c>
      <c r="H38" s="79"/>
      <c r="I38" s="80">
        <f>COUNTIF(Vertices[Out-Degree],"&gt;= "&amp;H38)-COUNTIF(Vertices[Out-Degree],"&gt;="&amp;H40)</f>
        <v>-4</v>
      </c>
      <c r="J38" s="79"/>
      <c r="K38" s="80">
        <f>COUNTIF(Vertices[Betweenness Centrality],"&gt;= "&amp;J38)-COUNTIF(Vertices[Betweenness Centrality],"&gt;="&amp;J40)</f>
        <v>-2</v>
      </c>
      <c r="L38" s="79"/>
      <c r="M38" s="80">
        <f>COUNTIF(Vertices[Closeness Centrality],"&gt;= "&amp;L38)-COUNTIF(Vertices[Closeness Centrality],"&gt;="&amp;L40)</f>
        <v>-2</v>
      </c>
      <c r="N38" s="79"/>
      <c r="O38" s="80">
        <f>COUNTIF(Vertices[Eigenvector Centrality],"&gt;= "&amp;N38)-COUNTIF(Vertices[Eigenvector Centrality],"&gt;="&amp;N40)</f>
        <v>-2</v>
      </c>
      <c r="P38" s="79"/>
      <c r="Q38" s="80">
        <f>COUNTIF(Vertices[Eigenvector Centrality],"&gt;= "&amp;P38)-COUNTIF(Vertices[Eigenvector Centrality],"&gt;="&amp;P40)</f>
        <v>0</v>
      </c>
      <c r="R38" s="79"/>
      <c r="S38" s="81">
        <f>COUNTIF(Vertices[Clustering Coefficient],"&gt;= "&amp;R38)-COUNTIF(Vertices[Clustering Coefficient],"&gt;="&amp;R40)</f>
        <v>-3</v>
      </c>
      <c r="T38" s="79"/>
      <c r="U38" s="80">
        <f ca="1">COUNTIF(Vertices[Clustering Coefficient],"&gt;= "&amp;T38)-COUNTIF(Vertices[Clustering Coefficient],"&gt;="&amp;T40)</f>
        <v>0</v>
      </c>
    </row>
    <row r="39" spans="4:21" ht="15">
      <c r="D39" s="34"/>
      <c r="E39" s="3">
        <f>COUNTIF(Vertices[Degree],"&gt;= "&amp;D39)-COUNTIF(Vertices[Degree],"&gt;="&amp;D40)</f>
        <v>0</v>
      </c>
      <c r="F39" s="79"/>
      <c r="G39" s="80">
        <f>COUNTIF(Vertices[In-Degree],"&gt;= "&amp;F39)-COUNTIF(Vertices[In-Degree],"&gt;="&amp;F40)</f>
        <v>-2</v>
      </c>
      <c r="H39" s="79"/>
      <c r="I39" s="80">
        <f>COUNTIF(Vertices[Out-Degree],"&gt;= "&amp;H39)-COUNTIF(Vertices[Out-Degree],"&gt;="&amp;H40)</f>
        <v>-4</v>
      </c>
      <c r="J39" s="79"/>
      <c r="K39" s="80">
        <f>COUNTIF(Vertices[Betweenness Centrality],"&gt;= "&amp;J39)-COUNTIF(Vertices[Betweenness Centrality],"&gt;="&amp;J40)</f>
        <v>-2</v>
      </c>
      <c r="L39" s="79"/>
      <c r="M39" s="80">
        <f>COUNTIF(Vertices[Closeness Centrality],"&gt;= "&amp;L39)-COUNTIF(Vertices[Closeness Centrality],"&gt;="&amp;L40)</f>
        <v>-2</v>
      </c>
      <c r="N39" s="79"/>
      <c r="O39" s="80">
        <f>COUNTIF(Vertices[Eigenvector Centrality],"&gt;= "&amp;N39)-COUNTIF(Vertices[Eigenvector Centrality],"&gt;="&amp;N40)</f>
        <v>-2</v>
      </c>
      <c r="P39" s="79"/>
      <c r="Q39" s="80">
        <f>COUNTIF(Vertices[Eigenvector Centrality],"&gt;= "&amp;P39)-COUNTIF(Vertices[Eigenvector Centrality],"&gt;="&amp;P40)</f>
        <v>0</v>
      </c>
      <c r="R39" s="79"/>
      <c r="S39" s="81">
        <f>COUNTIF(Vertices[Clustering Coefficient],"&gt;= "&amp;R39)-COUNTIF(Vertices[Clustering Coefficient],"&gt;="&amp;R40)</f>
        <v>-3</v>
      </c>
      <c r="T39" s="79"/>
      <c r="U39" s="80">
        <f ca="1">COUNTIF(Vertices[Clustering Coefficient],"&gt;= "&amp;T39)-COUNTIF(Vertices[Clustering Coefficient],"&gt;="&amp;T40)</f>
        <v>0</v>
      </c>
    </row>
    <row r="40" spans="4:21" ht="15">
      <c r="D40" s="34">
        <f>D28+($D$57-$D$2)/BinDivisor</f>
        <v>0</v>
      </c>
      <c r="E40" s="3">
        <f>COUNTIF(Vertices[Degree],"&gt;= "&amp;D40)-COUNTIF(Vertices[Degree],"&gt;="&amp;D41)</f>
        <v>0</v>
      </c>
      <c r="F40" s="39">
        <f>F28+($F$57-$F$2)/BinDivisor</f>
        <v>1.8909090909090913</v>
      </c>
      <c r="G40" s="40">
        <f>COUNTIF(Vertices[In-Degree],"&gt;= "&amp;F40)-COUNTIF(Vertices[In-Degree],"&gt;="&amp;F41)</f>
        <v>0</v>
      </c>
      <c r="H40" s="39">
        <f>H28+($H$57-$H$2)/BinDivisor</f>
        <v>0.9454545454545457</v>
      </c>
      <c r="I40" s="40">
        <f>COUNTIF(Vertices[Out-Degree],"&gt;= "&amp;H40)-COUNTIF(Vertices[Out-Degree],"&gt;="&amp;H41)</f>
        <v>0</v>
      </c>
      <c r="J40" s="39">
        <f>J28+($J$57-$J$2)/BinDivisor</f>
        <v>1.4181818181818178</v>
      </c>
      <c r="K40" s="40">
        <f>COUNTIF(Vertices[Betweenness Centrality],"&gt;= "&amp;J40)-COUNTIF(Vertices[Betweenness Centrality],"&gt;="&amp;J41)</f>
        <v>0</v>
      </c>
      <c r="L40" s="39">
        <f>L28+($L$57-$L$2)/BinDivisor</f>
        <v>0.20606078181818177</v>
      </c>
      <c r="M40" s="40">
        <f>COUNTIF(Vertices[Closeness Centrality],"&gt;= "&amp;L40)-COUNTIF(Vertices[Closeness Centrality],"&gt;="&amp;L41)</f>
        <v>0</v>
      </c>
      <c r="N40" s="39">
        <f>N28+($N$57-$N$2)/BinDivisor</f>
        <v>0.20606078181818177</v>
      </c>
      <c r="O40" s="40">
        <f>COUNTIF(Vertices[Eigenvector Centrality],"&gt;= "&amp;N40)-COUNTIF(Vertices[Eigenvector Centrality],"&gt;="&amp;N41)</f>
        <v>0</v>
      </c>
      <c r="P40" s="39">
        <f>P28+($P$57-$P$2)/BinDivisor</f>
        <v>1.0470790000000003</v>
      </c>
      <c r="Q40" s="40">
        <f>COUNTIF(Vertices[PageRank],"&gt;= "&amp;P40)-COUNTIF(Vertices[PageRank],"&gt;="&amp;P41)</f>
        <v>0</v>
      </c>
      <c r="R40" s="39">
        <f>R28+($R$57-$R$2)/BinDivisor</f>
        <v>0.3681818181818175</v>
      </c>
      <c r="S40" s="45">
        <f>COUNTIF(Vertices[Clustering Coefficient],"&gt;= "&amp;R40)-COUNTIF(Vertices[Clustering Coefficient],"&gt;="&amp;R41)</f>
        <v>0</v>
      </c>
      <c r="T40" s="39" t="e">
        <f ca="1">T28+($T$57-$T$2)/BinDivisor</f>
        <v>#REF!</v>
      </c>
      <c r="U40" s="40" t="e">
        <f ca="1" t="shared" si="0"/>
        <v>#REF!</v>
      </c>
    </row>
    <row r="41" spans="1:21" ht="15">
      <c r="A41" t="s">
        <v>163</v>
      </c>
      <c r="B41" t="s">
        <v>17</v>
      </c>
      <c r="D41" s="34">
        <f aca="true" t="shared" si="10" ref="D41:D56">D40+($D$57-$D$2)/BinDivisor</f>
        <v>0</v>
      </c>
      <c r="E41" s="3">
        <f>COUNTIF(Vertices[Degree],"&gt;= "&amp;D41)-COUNTIF(Vertices[Degree],"&gt;="&amp;D42)</f>
        <v>0</v>
      </c>
      <c r="F41" s="41">
        <f aca="true" t="shared" si="11" ref="F41:F56">F40+($F$57-$F$2)/BinDivisor</f>
        <v>1.963636363636364</v>
      </c>
      <c r="G41" s="42">
        <f>COUNTIF(Vertices[In-Degree],"&gt;= "&amp;F41)-COUNTIF(Vertices[In-Degree],"&gt;="&amp;F42)</f>
        <v>0</v>
      </c>
      <c r="H41" s="41">
        <f aca="true" t="shared" si="12" ref="H41:H56">H40+($H$57-$H$2)/BinDivisor</f>
        <v>0.981818181818182</v>
      </c>
      <c r="I41" s="42">
        <f>COUNTIF(Vertices[Out-Degree],"&gt;= "&amp;H41)-COUNTIF(Vertices[Out-Degree],"&gt;="&amp;H42)</f>
        <v>1</v>
      </c>
      <c r="J41" s="41">
        <f aca="true" t="shared" si="13" ref="J41:J56">J40+($J$57-$J$2)/BinDivisor</f>
        <v>1.4727272727272722</v>
      </c>
      <c r="K41" s="42">
        <f>COUNTIF(Vertices[Betweenness Centrality],"&gt;= "&amp;J41)-COUNTIF(Vertices[Betweenness Centrality],"&gt;="&amp;J42)</f>
        <v>0</v>
      </c>
      <c r="L41" s="41">
        <f aca="true" t="shared" si="14" ref="L41:L56">L40+($L$57-$L$2)/BinDivisor</f>
        <v>0.20757592727272722</v>
      </c>
      <c r="M41" s="42">
        <f>COUNTIF(Vertices[Closeness Centrality],"&gt;= "&amp;L41)-COUNTIF(Vertices[Closeness Centrality],"&gt;="&amp;L42)</f>
        <v>0</v>
      </c>
      <c r="N41" s="41">
        <f aca="true" t="shared" si="15" ref="N41:N56">N40+($N$57-$N$2)/BinDivisor</f>
        <v>0.20757592727272722</v>
      </c>
      <c r="O41" s="42">
        <f>COUNTIF(Vertices[Eigenvector Centrality],"&gt;= "&amp;N41)-COUNTIF(Vertices[Eigenvector Centrality],"&gt;="&amp;N42)</f>
        <v>0</v>
      </c>
      <c r="P41" s="41">
        <f aca="true" t="shared" si="16" ref="P41:P56">P40+($P$57-$P$2)/BinDivisor</f>
        <v>1.0588750000000002</v>
      </c>
      <c r="Q41" s="42">
        <f>COUNTIF(Vertices[PageRank],"&gt;= "&amp;P41)-COUNTIF(Vertices[PageRank],"&gt;="&amp;P42)</f>
        <v>0</v>
      </c>
      <c r="R41" s="41">
        <f aca="true" t="shared" si="17" ref="R41:R56">R40+($R$57-$R$2)/BinDivisor</f>
        <v>0.372727272727272</v>
      </c>
      <c r="S41" s="46">
        <f>COUNTIF(Vertices[Clustering Coefficient],"&gt;= "&amp;R41)-COUNTIF(Vertices[Clustering Coefficient],"&gt;="&amp;R42)</f>
        <v>0</v>
      </c>
      <c r="T41" s="41" t="e">
        <f aca="true" t="shared" si="18" ref="T41:T56">T40+($T$57-$T$2)/BinDivisor</f>
        <v>#REF!</v>
      </c>
      <c r="U41" s="42" t="e">
        <f ca="1" t="shared" si="0"/>
        <v>#REF!</v>
      </c>
    </row>
    <row r="42" spans="1:21" ht="15">
      <c r="A42" s="35"/>
      <c r="B42" s="35"/>
      <c r="D42" s="34">
        <f t="shared" si="10"/>
        <v>0</v>
      </c>
      <c r="E42" s="3">
        <f>COUNTIF(Vertices[Degree],"&gt;= "&amp;D42)-COUNTIF(Vertices[Degree],"&gt;="&amp;D43)</f>
        <v>0</v>
      </c>
      <c r="F42" s="39">
        <f t="shared" si="11"/>
        <v>2.0363636363636366</v>
      </c>
      <c r="G42" s="40">
        <f>COUNTIF(Vertices[In-Degree],"&gt;= "&amp;F42)-COUNTIF(Vertices[In-Degree],"&gt;="&amp;F43)</f>
        <v>0</v>
      </c>
      <c r="H42" s="39">
        <f t="shared" si="12"/>
        <v>1.0181818181818183</v>
      </c>
      <c r="I42" s="40">
        <f>COUNTIF(Vertices[Out-Degree],"&gt;= "&amp;H42)-COUNTIF(Vertices[Out-Degree],"&gt;="&amp;H43)</f>
        <v>0</v>
      </c>
      <c r="J42" s="39">
        <f t="shared" si="13"/>
        <v>1.5272727272727267</v>
      </c>
      <c r="K42" s="40">
        <f>COUNTIF(Vertices[Betweenness Centrality],"&gt;= "&amp;J42)-COUNTIF(Vertices[Betweenness Centrality],"&gt;="&amp;J43)</f>
        <v>0</v>
      </c>
      <c r="L42" s="39">
        <f t="shared" si="14"/>
        <v>0.20909107272727268</v>
      </c>
      <c r="M42" s="40">
        <f>COUNTIF(Vertices[Closeness Centrality],"&gt;= "&amp;L42)-COUNTIF(Vertices[Closeness Centrality],"&gt;="&amp;L43)</f>
        <v>0</v>
      </c>
      <c r="N42" s="39">
        <f t="shared" si="15"/>
        <v>0.20909107272727268</v>
      </c>
      <c r="O42" s="40">
        <f>COUNTIF(Vertices[Eigenvector Centrality],"&gt;= "&amp;N42)-COUNTIF(Vertices[Eigenvector Centrality],"&gt;="&amp;N43)</f>
        <v>0</v>
      </c>
      <c r="P42" s="39">
        <f t="shared" si="16"/>
        <v>1.0706710000000002</v>
      </c>
      <c r="Q42" s="40">
        <f>COUNTIF(Vertices[PageRank],"&gt;= "&amp;P42)-COUNTIF(Vertices[PageRank],"&gt;="&amp;P43)</f>
        <v>0</v>
      </c>
      <c r="R42" s="39">
        <f t="shared" si="17"/>
        <v>0.37727272727272654</v>
      </c>
      <c r="S42" s="45">
        <f>COUNTIF(Vertices[Clustering Coefficient],"&gt;= "&amp;R42)-COUNTIF(Vertices[Clustering Coefficient],"&gt;="&amp;R43)</f>
        <v>0</v>
      </c>
      <c r="T42" s="39" t="e">
        <f ca="1" t="shared" si="18"/>
        <v>#REF!</v>
      </c>
      <c r="U42" s="40" t="e">
        <f ca="1" t="shared" si="0"/>
        <v>#REF!</v>
      </c>
    </row>
    <row r="43" spans="1:21" ht="15">
      <c r="A43" s="35"/>
      <c r="B43" s="35"/>
      <c r="D43" s="34">
        <f t="shared" si="10"/>
        <v>0</v>
      </c>
      <c r="E43" s="3">
        <f>COUNTIF(Vertices[Degree],"&gt;= "&amp;D43)-COUNTIF(Vertices[Degree],"&gt;="&amp;D44)</f>
        <v>0</v>
      </c>
      <c r="F43" s="41">
        <f t="shared" si="11"/>
        <v>2.1090909090909093</v>
      </c>
      <c r="G43" s="42">
        <f>COUNTIF(Vertices[In-Degree],"&gt;= "&amp;F43)-COUNTIF(Vertices[In-Degree],"&gt;="&amp;F44)</f>
        <v>0</v>
      </c>
      <c r="H43" s="41">
        <f t="shared" si="12"/>
        <v>1.0545454545454547</v>
      </c>
      <c r="I43" s="42">
        <f>COUNTIF(Vertices[Out-Degree],"&gt;= "&amp;H43)-COUNTIF(Vertices[Out-Degree],"&gt;="&amp;H44)</f>
        <v>0</v>
      </c>
      <c r="J43" s="41">
        <f t="shared" si="13"/>
        <v>1.5818181818181811</v>
      </c>
      <c r="K43" s="42">
        <f>COUNTIF(Vertices[Betweenness Centrality],"&gt;= "&amp;J43)-COUNTIF(Vertices[Betweenness Centrality],"&gt;="&amp;J44)</f>
        <v>0</v>
      </c>
      <c r="L43" s="41">
        <f t="shared" si="14"/>
        <v>0.21060621818181813</v>
      </c>
      <c r="M43" s="42">
        <f>COUNTIF(Vertices[Closeness Centrality],"&gt;= "&amp;L43)-COUNTIF(Vertices[Closeness Centrality],"&gt;="&amp;L44)</f>
        <v>0</v>
      </c>
      <c r="N43" s="41">
        <f t="shared" si="15"/>
        <v>0.21060621818181813</v>
      </c>
      <c r="O43" s="42">
        <f>COUNTIF(Vertices[Eigenvector Centrality],"&gt;= "&amp;N43)-COUNTIF(Vertices[Eigenvector Centrality],"&gt;="&amp;N44)</f>
        <v>0</v>
      </c>
      <c r="P43" s="41">
        <f t="shared" si="16"/>
        <v>1.082467</v>
      </c>
      <c r="Q43" s="42">
        <f>COUNTIF(Vertices[PageRank],"&gt;= "&amp;P43)-COUNTIF(Vertices[PageRank],"&gt;="&amp;P44)</f>
        <v>0</v>
      </c>
      <c r="R43" s="41">
        <f t="shared" si="17"/>
        <v>0.38181818181818106</v>
      </c>
      <c r="S43" s="46">
        <f>COUNTIF(Vertices[Clustering Coefficient],"&gt;= "&amp;R43)-COUNTIF(Vertices[Clustering Coefficient],"&gt;="&amp;R44)</f>
        <v>0</v>
      </c>
      <c r="T43" s="41" t="e">
        <f ca="1" t="shared" si="18"/>
        <v>#REF!</v>
      </c>
      <c r="U43" s="42" t="e">
        <f ca="1" t="shared" si="0"/>
        <v>#REF!</v>
      </c>
    </row>
    <row r="44" spans="1:21" ht="15">
      <c r="A44" s="35"/>
      <c r="B44" s="35"/>
      <c r="D44" s="34">
        <f t="shared" si="10"/>
        <v>0</v>
      </c>
      <c r="E44" s="3">
        <f>COUNTIF(Vertices[Degree],"&gt;= "&amp;D44)-COUNTIF(Vertices[Degree],"&gt;="&amp;D45)</f>
        <v>0</v>
      </c>
      <c r="F44" s="39">
        <f t="shared" si="11"/>
        <v>2.181818181818182</v>
      </c>
      <c r="G44" s="40">
        <f>COUNTIF(Vertices[In-Degree],"&gt;= "&amp;F44)-COUNTIF(Vertices[In-Degree],"&gt;="&amp;F45)</f>
        <v>0</v>
      </c>
      <c r="H44" s="39">
        <f t="shared" si="12"/>
        <v>1.090909090909091</v>
      </c>
      <c r="I44" s="40">
        <f>COUNTIF(Vertices[Out-Degree],"&gt;= "&amp;H44)-COUNTIF(Vertices[Out-Degree],"&gt;="&amp;H45)</f>
        <v>0</v>
      </c>
      <c r="J44" s="39">
        <f t="shared" si="13"/>
        <v>1.6363636363636356</v>
      </c>
      <c r="K44" s="40">
        <f>COUNTIF(Vertices[Betweenness Centrality],"&gt;= "&amp;J44)-COUNTIF(Vertices[Betweenness Centrality],"&gt;="&amp;J45)</f>
        <v>0</v>
      </c>
      <c r="L44" s="39">
        <f t="shared" si="14"/>
        <v>0.21212136363636358</v>
      </c>
      <c r="M44" s="40">
        <f>COUNTIF(Vertices[Closeness Centrality],"&gt;= "&amp;L44)-COUNTIF(Vertices[Closeness Centrality],"&gt;="&amp;L45)</f>
        <v>0</v>
      </c>
      <c r="N44" s="39">
        <f t="shared" si="15"/>
        <v>0.21212136363636358</v>
      </c>
      <c r="O44" s="40">
        <f>COUNTIF(Vertices[Eigenvector Centrality],"&gt;= "&amp;N44)-COUNTIF(Vertices[Eigenvector Centrality],"&gt;="&amp;N45)</f>
        <v>0</v>
      </c>
      <c r="P44" s="39">
        <f t="shared" si="16"/>
        <v>1.094263</v>
      </c>
      <c r="Q44" s="40">
        <f>COUNTIF(Vertices[PageRank],"&gt;= "&amp;P44)-COUNTIF(Vertices[PageRank],"&gt;="&amp;P45)</f>
        <v>0</v>
      </c>
      <c r="R44" s="39">
        <f t="shared" si="17"/>
        <v>0.3863636363636356</v>
      </c>
      <c r="S44" s="45">
        <f>COUNTIF(Vertices[Clustering Coefficient],"&gt;= "&amp;R44)-COUNTIF(Vertices[Clustering Coefficient],"&gt;="&amp;R45)</f>
        <v>0</v>
      </c>
      <c r="T44" s="39" t="e">
        <f ca="1" t="shared" si="18"/>
        <v>#REF!</v>
      </c>
      <c r="U44" s="40" t="e">
        <f ca="1" t="shared" si="0"/>
        <v>#REF!</v>
      </c>
    </row>
    <row r="45" spans="4:21" ht="15">
      <c r="D45" s="34">
        <f t="shared" si="10"/>
        <v>0</v>
      </c>
      <c r="E45" s="3">
        <f>COUNTIF(Vertices[Degree],"&gt;= "&amp;D45)-COUNTIF(Vertices[Degree],"&gt;="&amp;D46)</f>
        <v>0</v>
      </c>
      <c r="F45" s="41">
        <f t="shared" si="11"/>
        <v>2.254545454545455</v>
      </c>
      <c r="G45" s="42">
        <f>COUNTIF(Vertices[In-Degree],"&gt;= "&amp;F45)-COUNTIF(Vertices[In-Degree],"&gt;="&amp;F46)</f>
        <v>0</v>
      </c>
      <c r="H45" s="41">
        <f t="shared" si="12"/>
        <v>1.1272727272727274</v>
      </c>
      <c r="I45" s="42">
        <f>COUNTIF(Vertices[Out-Degree],"&gt;= "&amp;H45)-COUNTIF(Vertices[Out-Degree],"&gt;="&amp;H46)</f>
        <v>0</v>
      </c>
      <c r="J45" s="41">
        <f t="shared" si="13"/>
        <v>1.69090909090909</v>
      </c>
      <c r="K45" s="42">
        <f>COUNTIF(Vertices[Betweenness Centrality],"&gt;= "&amp;J45)-COUNTIF(Vertices[Betweenness Centrality],"&gt;="&amp;J46)</f>
        <v>0</v>
      </c>
      <c r="L45" s="41">
        <f t="shared" si="14"/>
        <v>0.21363650909090903</v>
      </c>
      <c r="M45" s="42">
        <f>COUNTIF(Vertices[Closeness Centrality],"&gt;= "&amp;L45)-COUNTIF(Vertices[Closeness Centrality],"&gt;="&amp;L46)</f>
        <v>0</v>
      </c>
      <c r="N45" s="41">
        <f t="shared" si="15"/>
        <v>0.21363650909090903</v>
      </c>
      <c r="O45" s="42">
        <f>COUNTIF(Vertices[Eigenvector Centrality],"&gt;= "&amp;N45)-COUNTIF(Vertices[Eigenvector Centrality],"&gt;="&amp;N46)</f>
        <v>0</v>
      </c>
      <c r="P45" s="41">
        <f t="shared" si="16"/>
        <v>1.106059</v>
      </c>
      <c r="Q45" s="42">
        <f>COUNTIF(Vertices[PageRank],"&gt;= "&amp;P45)-COUNTIF(Vertices[PageRank],"&gt;="&amp;P46)</f>
        <v>0</v>
      </c>
      <c r="R45" s="41">
        <f t="shared" si="17"/>
        <v>0.3909090909090901</v>
      </c>
      <c r="S45" s="46">
        <f>COUNTIF(Vertices[Clustering Coefficient],"&gt;= "&amp;R45)-COUNTIF(Vertices[Clustering Coefficient],"&gt;="&amp;R46)</f>
        <v>0</v>
      </c>
      <c r="T45" s="41" t="e">
        <f ca="1" t="shared" si="18"/>
        <v>#REF!</v>
      </c>
      <c r="U45" s="42" t="e">
        <f ca="1" t="shared" si="0"/>
        <v>#REF!</v>
      </c>
    </row>
    <row r="46" spans="4:21" ht="15">
      <c r="D46" s="34">
        <f t="shared" si="10"/>
        <v>0</v>
      </c>
      <c r="E46" s="3">
        <f>COUNTIF(Vertices[Degree],"&gt;= "&amp;D46)-COUNTIF(Vertices[Degree],"&gt;="&amp;D47)</f>
        <v>0</v>
      </c>
      <c r="F46" s="39">
        <f t="shared" si="11"/>
        <v>2.3272727272727276</v>
      </c>
      <c r="G46" s="40">
        <f>COUNTIF(Vertices[In-Degree],"&gt;= "&amp;F46)-COUNTIF(Vertices[In-Degree],"&gt;="&amp;F47)</f>
        <v>0</v>
      </c>
      <c r="H46" s="39">
        <f t="shared" si="12"/>
        <v>1.1636363636363638</v>
      </c>
      <c r="I46" s="40">
        <f>COUNTIF(Vertices[Out-Degree],"&gt;= "&amp;H46)-COUNTIF(Vertices[Out-Degree],"&gt;="&amp;H47)</f>
        <v>0</v>
      </c>
      <c r="J46" s="39">
        <f t="shared" si="13"/>
        <v>1.7454545454545445</v>
      </c>
      <c r="K46" s="40">
        <f>COUNTIF(Vertices[Betweenness Centrality],"&gt;= "&amp;J46)-COUNTIF(Vertices[Betweenness Centrality],"&gt;="&amp;J47)</f>
        <v>0</v>
      </c>
      <c r="L46" s="39">
        <f t="shared" si="14"/>
        <v>0.21515165454545448</v>
      </c>
      <c r="M46" s="40">
        <f>COUNTIF(Vertices[Closeness Centrality],"&gt;= "&amp;L46)-COUNTIF(Vertices[Closeness Centrality],"&gt;="&amp;L47)</f>
        <v>0</v>
      </c>
      <c r="N46" s="39">
        <f t="shared" si="15"/>
        <v>0.21515165454545448</v>
      </c>
      <c r="O46" s="40">
        <f>COUNTIF(Vertices[Eigenvector Centrality],"&gt;= "&amp;N46)-COUNTIF(Vertices[Eigenvector Centrality],"&gt;="&amp;N47)</f>
        <v>0</v>
      </c>
      <c r="P46" s="39">
        <f t="shared" si="16"/>
        <v>1.1178549999999998</v>
      </c>
      <c r="Q46" s="40">
        <f>COUNTIF(Vertices[PageRank],"&gt;= "&amp;P46)-COUNTIF(Vertices[PageRank],"&gt;="&amp;P47)</f>
        <v>0</v>
      </c>
      <c r="R46" s="39">
        <f t="shared" si="17"/>
        <v>0.3954545454545446</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2.4000000000000004</v>
      </c>
      <c r="G47" s="42">
        <f>COUNTIF(Vertices[In-Degree],"&gt;= "&amp;F47)-COUNTIF(Vertices[In-Degree],"&gt;="&amp;F48)</f>
        <v>0</v>
      </c>
      <c r="H47" s="41">
        <f t="shared" si="12"/>
        <v>1.2000000000000002</v>
      </c>
      <c r="I47" s="42">
        <f>COUNTIF(Vertices[Out-Degree],"&gt;= "&amp;H47)-COUNTIF(Vertices[Out-Degree],"&gt;="&amp;H48)</f>
        <v>0</v>
      </c>
      <c r="J47" s="41">
        <f t="shared" si="13"/>
        <v>1.799999999999999</v>
      </c>
      <c r="K47" s="42">
        <f>COUNTIF(Vertices[Betweenness Centrality],"&gt;= "&amp;J47)-COUNTIF(Vertices[Betweenness Centrality],"&gt;="&amp;J48)</f>
        <v>0</v>
      </c>
      <c r="L47" s="41">
        <f t="shared" si="14"/>
        <v>0.21666679999999994</v>
      </c>
      <c r="M47" s="42">
        <f>COUNTIF(Vertices[Closeness Centrality],"&gt;= "&amp;L47)-COUNTIF(Vertices[Closeness Centrality],"&gt;="&amp;L48)</f>
        <v>0</v>
      </c>
      <c r="N47" s="41">
        <f t="shared" si="15"/>
        <v>0.21666679999999994</v>
      </c>
      <c r="O47" s="42">
        <f>COUNTIF(Vertices[Eigenvector Centrality],"&gt;= "&amp;N47)-COUNTIF(Vertices[Eigenvector Centrality],"&gt;="&amp;N48)</f>
        <v>0</v>
      </c>
      <c r="P47" s="41">
        <f t="shared" si="16"/>
        <v>1.1296509999999997</v>
      </c>
      <c r="Q47" s="42">
        <f>COUNTIF(Vertices[PageRank],"&gt;= "&amp;P47)-COUNTIF(Vertices[PageRank],"&gt;="&amp;P48)</f>
        <v>0</v>
      </c>
      <c r="R47" s="41">
        <f t="shared" si="17"/>
        <v>0.39999999999999913</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2.472727272727273</v>
      </c>
      <c r="G48" s="40">
        <f>COUNTIF(Vertices[In-Degree],"&gt;= "&amp;F48)-COUNTIF(Vertices[In-Degree],"&gt;="&amp;F49)</f>
        <v>0</v>
      </c>
      <c r="H48" s="39">
        <f t="shared" si="12"/>
        <v>1.2363636363636366</v>
      </c>
      <c r="I48" s="40">
        <f>COUNTIF(Vertices[Out-Degree],"&gt;= "&amp;H48)-COUNTIF(Vertices[Out-Degree],"&gt;="&amp;H49)</f>
        <v>0</v>
      </c>
      <c r="J48" s="39">
        <f t="shared" si="13"/>
        <v>1.8545454545454534</v>
      </c>
      <c r="K48" s="40">
        <f>COUNTIF(Vertices[Betweenness Centrality],"&gt;= "&amp;J48)-COUNTIF(Vertices[Betweenness Centrality],"&gt;="&amp;J49)</f>
        <v>0</v>
      </c>
      <c r="L48" s="39">
        <f t="shared" si="14"/>
        <v>0.2181819454545454</v>
      </c>
      <c r="M48" s="40">
        <f>COUNTIF(Vertices[Closeness Centrality],"&gt;= "&amp;L48)-COUNTIF(Vertices[Closeness Centrality],"&gt;="&amp;L49)</f>
        <v>0</v>
      </c>
      <c r="N48" s="39">
        <f t="shared" si="15"/>
        <v>0.2181819454545454</v>
      </c>
      <c r="O48" s="40">
        <f>COUNTIF(Vertices[Eigenvector Centrality],"&gt;= "&amp;N48)-COUNTIF(Vertices[Eigenvector Centrality],"&gt;="&amp;N49)</f>
        <v>0</v>
      </c>
      <c r="P48" s="39">
        <f t="shared" si="16"/>
        <v>1.1414469999999997</v>
      </c>
      <c r="Q48" s="40">
        <f>COUNTIF(Vertices[PageRank],"&gt;= "&amp;P48)-COUNTIF(Vertices[PageRank],"&gt;="&amp;P49)</f>
        <v>0</v>
      </c>
      <c r="R48" s="39">
        <f t="shared" si="17"/>
        <v>0.40454545454545365</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2.545454545454546</v>
      </c>
      <c r="G49" s="42">
        <f>COUNTIF(Vertices[In-Degree],"&gt;= "&amp;F49)-COUNTIF(Vertices[In-Degree],"&gt;="&amp;F50)</f>
        <v>0</v>
      </c>
      <c r="H49" s="41">
        <f t="shared" si="12"/>
        <v>1.272727272727273</v>
      </c>
      <c r="I49" s="42">
        <f>COUNTIF(Vertices[Out-Degree],"&gt;= "&amp;H49)-COUNTIF(Vertices[Out-Degree],"&gt;="&amp;H50)</f>
        <v>0</v>
      </c>
      <c r="J49" s="41">
        <f t="shared" si="13"/>
        <v>1.9090909090909078</v>
      </c>
      <c r="K49" s="42">
        <f>COUNTIF(Vertices[Betweenness Centrality],"&gt;= "&amp;J49)-COUNTIF(Vertices[Betweenness Centrality],"&gt;="&amp;J50)</f>
        <v>0</v>
      </c>
      <c r="L49" s="41">
        <f t="shared" si="14"/>
        <v>0.21969709090909084</v>
      </c>
      <c r="M49" s="42">
        <f>COUNTIF(Vertices[Closeness Centrality],"&gt;= "&amp;L49)-COUNTIF(Vertices[Closeness Centrality],"&gt;="&amp;L50)</f>
        <v>0</v>
      </c>
      <c r="N49" s="41">
        <f t="shared" si="15"/>
        <v>0.21969709090909084</v>
      </c>
      <c r="O49" s="42">
        <f>COUNTIF(Vertices[Eigenvector Centrality],"&gt;= "&amp;N49)-COUNTIF(Vertices[Eigenvector Centrality],"&gt;="&amp;N50)</f>
        <v>0</v>
      </c>
      <c r="P49" s="41">
        <f t="shared" si="16"/>
        <v>1.1532429999999996</v>
      </c>
      <c r="Q49" s="42">
        <f>COUNTIF(Vertices[PageRank],"&gt;= "&amp;P49)-COUNTIF(Vertices[PageRank],"&gt;="&amp;P50)</f>
        <v>0</v>
      </c>
      <c r="R49" s="41">
        <f t="shared" si="17"/>
        <v>0.4090909090909082</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2.6181818181818186</v>
      </c>
      <c r="G50" s="40">
        <f>COUNTIF(Vertices[In-Degree],"&gt;= "&amp;F50)-COUNTIF(Vertices[In-Degree],"&gt;="&amp;F51)</f>
        <v>0</v>
      </c>
      <c r="H50" s="39">
        <f t="shared" si="12"/>
        <v>1.3090909090909093</v>
      </c>
      <c r="I50" s="40">
        <f>COUNTIF(Vertices[Out-Degree],"&gt;= "&amp;H50)-COUNTIF(Vertices[Out-Degree],"&gt;="&amp;H51)</f>
        <v>0</v>
      </c>
      <c r="J50" s="39">
        <f t="shared" si="13"/>
        <v>1.9636363636363623</v>
      </c>
      <c r="K50" s="40">
        <f>COUNTIF(Vertices[Betweenness Centrality],"&gt;= "&amp;J50)-COUNTIF(Vertices[Betweenness Centrality],"&gt;="&amp;J51)</f>
        <v>0</v>
      </c>
      <c r="L50" s="39">
        <f t="shared" si="14"/>
        <v>0.2212122363636363</v>
      </c>
      <c r="M50" s="40">
        <f>COUNTIF(Vertices[Closeness Centrality],"&gt;= "&amp;L50)-COUNTIF(Vertices[Closeness Centrality],"&gt;="&amp;L51)</f>
        <v>0</v>
      </c>
      <c r="N50" s="39">
        <f t="shared" si="15"/>
        <v>0.2212122363636363</v>
      </c>
      <c r="O50" s="40">
        <f>COUNTIF(Vertices[Eigenvector Centrality],"&gt;= "&amp;N50)-COUNTIF(Vertices[Eigenvector Centrality],"&gt;="&amp;N51)</f>
        <v>0</v>
      </c>
      <c r="P50" s="39">
        <f t="shared" si="16"/>
        <v>1.1650389999999995</v>
      </c>
      <c r="Q50" s="40">
        <f>COUNTIF(Vertices[PageRank],"&gt;= "&amp;P50)-COUNTIF(Vertices[PageRank],"&gt;="&amp;P51)</f>
        <v>0</v>
      </c>
      <c r="R50" s="39">
        <f t="shared" si="17"/>
        <v>0.4136363636363627</v>
      </c>
      <c r="S50" s="45">
        <f>COUNTIF(Vertices[Clustering Coefficient],"&gt;= "&amp;R50)-COUNTIF(Vertices[Clustering Coefficient],"&gt;="&amp;R51)</f>
        <v>0</v>
      </c>
      <c r="T50" s="39" t="e">
        <f ca="1" t="shared" si="18"/>
        <v>#REF!</v>
      </c>
      <c r="U50" s="40" t="e">
        <f ca="1" t="shared" si="0"/>
        <v>#REF!</v>
      </c>
    </row>
    <row r="51" spans="4:21" ht="15">
      <c r="D51" s="34">
        <f t="shared" si="10"/>
        <v>0</v>
      </c>
      <c r="E51" s="3">
        <f>COUNTIF(Vertices[Degree],"&gt;= "&amp;D51)-COUNTIF(Vertices[Degree],"&gt;="&amp;D52)</f>
        <v>0</v>
      </c>
      <c r="F51" s="41">
        <f t="shared" si="11"/>
        <v>2.6909090909090914</v>
      </c>
      <c r="G51" s="42">
        <f>COUNTIF(Vertices[In-Degree],"&gt;= "&amp;F51)-COUNTIF(Vertices[In-Degree],"&gt;="&amp;F52)</f>
        <v>0</v>
      </c>
      <c r="H51" s="41">
        <f t="shared" si="12"/>
        <v>1.3454545454545457</v>
      </c>
      <c r="I51" s="42">
        <f>COUNTIF(Vertices[Out-Degree],"&gt;= "&amp;H51)-COUNTIF(Vertices[Out-Degree],"&gt;="&amp;H52)</f>
        <v>0</v>
      </c>
      <c r="J51" s="41">
        <f t="shared" si="13"/>
        <v>2.0181818181818167</v>
      </c>
      <c r="K51" s="42">
        <f>COUNTIF(Vertices[Betweenness Centrality],"&gt;= "&amp;J51)-COUNTIF(Vertices[Betweenness Centrality],"&gt;="&amp;J52)</f>
        <v>0</v>
      </c>
      <c r="L51" s="41">
        <f t="shared" si="14"/>
        <v>0.22272738181818175</v>
      </c>
      <c r="M51" s="42">
        <f>COUNTIF(Vertices[Closeness Centrality],"&gt;= "&amp;L51)-COUNTIF(Vertices[Closeness Centrality],"&gt;="&amp;L52)</f>
        <v>0</v>
      </c>
      <c r="N51" s="41">
        <f t="shared" si="15"/>
        <v>0.22272738181818175</v>
      </c>
      <c r="O51" s="42">
        <f>COUNTIF(Vertices[Eigenvector Centrality],"&gt;= "&amp;N51)-COUNTIF(Vertices[Eigenvector Centrality],"&gt;="&amp;N52)</f>
        <v>0</v>
      </c>
      <c r="P51" s="41">
        <f t="shared" si="16"/>
        <v>1.1768349999999994</v>
      </c>
      <c r="Q51" s="42">
        <f>COUNTIF(Vertices[PageRank],"&gt;= "&amp;P51)-COUNTIF(Vertices[PageRank],"&gt;="&amp;P52)</f>
        <v>0</v>
      </c>
      <c r="R51" s="41">
        <f t="shared" si="17"/>
        <v>0.4181818181818172</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2.763636363636364</v>
      </c>
      <c r="G52" s="40">
        <f>COUNTIF(Vertices[In-Degree],"&gt;= "&amp;F52)-COUNTIF(Vertices[In-Degree],"&gt;="&amp;F53)</f>
        <v>0</v>
      </c>
      <c r="H52" s="39">
        <f t="shared" si="12"/>
        <v>1.381818181818182</v>
      </c>
      <c r="I52" s="40">
        <f>COUNTIF(Vertices[Out-Degree],"&gt;= "&amp;H52)-COUNTIF(Vertices[Out-Degree],"&gt;="&amp;H53)</f>
        <v>0</v>
      </c>
      <c r="J52" s="39">
        <f t="shared" si="13"/>
        <v>2.0727272727272714</v>
      </c>
      <c r="K52" s="40">
        <f>COUNTIF(Vertices[Betweenness Centrality],"&gt;= "&amp;J52)-COUNTIF(Vertices[Betweenness Centrality],"&gt;="&amp;J53)</f>
        <v>0</v>
      </c>
      <c r="L52" s="39">
        <f t="shared" si="14"/>
        <v>0.2242425272727272</v>
      </c>
      <c r="M52" s="40">
        <f>COUNTIF(Vertices[Closeness Centrality],"&gt;= "&amp;L52)-COUNTIF(Vertices[Closeness Centrality],"&gt;="&amp;L53)</f>
        <v>0</v>
      </c>
      <c r="N52" s="39">
        <f t="shared" si="15"/>
        <v>0.2242425272727272</v>
      </c>
      <c r="O52" s="40">
        <f>COUNTIF(Vertices[Eigenvector Centrality],"&gt;= "&amp;N52)-COUNTIF(Vertices[Eigenvector Centrality],"&gt;="&amp;N53)</f>
        <v>0</v>
      </c>
      <c r="P52" s="39">
        <f t="shared" si="16"/>
        <v>1.1886309999999993</v>
      </c>
      <c r="Q52" s="40">
        <f>COUNTIF(Vertices[PageRank],"&gt;= "&amp;P52)-COUNTIF(Vertices[PageRank],"&gt;="&amp;P53)</f>
        <v>0</v>
      </c>
      <c r="R52" s="39">
        <f t="shared" si="17"/>
        <v>0.42272727272727173</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2.836363636363637</v>
      </c>
      <c r="G53" s="42">
        <f>COUNTIF(Vertices[In-Degree],"&gt;= "&amp;F53)-COUNTIF(Vertices[In-Degree],"&gt;="&amp;F54)</f>
        <v>0</v>
      </c>
      <c r="H53" s="41">
        <f t="shared" si="12"/>
        <v>1.4181818181818184</v>
      </c>
      <c r="I53" s="42">
        <f>COUNTIF(Vertices[Out-Degree],"&gt;= "&amp;H53)-COUNTIF(Vertices[Out-Degree],"&gt;="&amp;H54)</f>
        <v>0</v>
      </c>
      <c r="J53" s="41">
        <f t="shared" si="13"/>
        <v>2.127272727272726</v>
      </c>
      <c r="K53" s="42">
        <f>COUNTIF(Vertices[Betweenness Centrality],"&gt;= "&amp;J53)-COUNTIF(Vertices[Betweenness Centrality],"&gt;="&amp;J54)</f>
        <v>0</v>
      </c>
      <c r="L53" s="41">
        <f t="shared" si="14"/>
        <v>0.22575767272727265</v>
      </c>
      <c r="M53" s="42">
        <f>COUNTIF(Vertices[Closeness Centrality],"&gt;= "&amp;L53)-COUNTIF(Vertices[Closeness Centrality],"&gt;="&amp;L54)</f>
        <v>0</v>
      </c>
      <c r="N53" s="41">
        <f t="shared" si="15"/>
        <v>0.22575767272727265</v>
      </c>
      <c r="O53" s="42">
        <f>COUNTIF(Vertices[Eigenvector Centrality],"&gt;= "&amp;N53)-COUNTIF(Vertices[Eigenvector Centrality],"&gt;="&amp;N54)</f>
        <v>0</v>
      </c>
      <c r="P53" s="41">
        <f t="shared" si="16"/>
        <v>1.2004269999999992</v>
      </c>
      <c r="Q53" s="42">
        <f>COUNTIF(Vertices[PageRank],"&gt;= "&amp;P53)-COUNTIF(Vertices[PageRank],"&gt;="&amp;P54)</f>
        <v>0</v>
      </c>
      <c r="R53" s="41">
        <f t="shared" si="17"/>
        <v>0.42727272727272625</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2.9090909090909096</v>
      </c>
      <c r="G54" s="40">
        <f>COUNTIF(Vertices[In-Degree],"&gt;= "&amp;F54)-COUNTIF(Vertices[In-Degree],"&gt;="&amp;F55)</f>
        <v>0</v>
      </c>
      <c r="H54" s="39">
        <f t="shared" si="12"/>
        <v>1.4545454545454548</v>
      </c>
      <c r="I54" s="40">
        <f>COUNTIF(Vertices[Out-Degree],"&gt;= "&amp;H54)-COUNTIF(Vertices[Out-Degree],"&gt;="&amp;H55)</f>
        <v>0</v>
      </c>
      <c r="J54" s="39">
        <f t="shared" si="13"/>
        <v>2.1818181818181808</v>
      </c>
      <c r="K54" s="40">
        <f>COUNTIF(Vertices[Betweenness Centrality],"&gt;= "&amp;J54)-COUNTIF(Vertices[Betweenness Centrality],"&gt;="&amp;J55)</f>
        <v>0</v>
      </c>
      <c r="L54" s="39">
        <f t="shared" si="14"/>
        <v>0.2272728181818181</v>
      </c>
      <c r="M54" s="40">
        <f>COUNTIF(Vertices[Closeness Centrality],"&gt;= "&amp;L54)-COUNTIF(Vertices[Closeness Centrality],"&gt;="&amp;L55)</f>
        <v>0</v>
      </c>
      <c r="N54" s="39">
        <f t="shared" si="15"/>
        <v>0.2272728181818181</v>
      </c>
      <c r="O54" s="40">
        <f>COUNTIF(Vertices[Eigenvector Centrality],"&gt;= "&amp;N54)-COUNTIF(Vertices[Eigenvector Centrality],"&gt;="&amp;N55)</f>
        <v>0</v>
      </c>
      <c r="P54" s="39">
        <f t="shared" si="16"/>
        <v>1.2122229999999992</v>
      </c>
      <c r="Q54" s="40">
        <f>COUNTIF(Vertices[PageRank],"&gt;= "&amp;P54)-COUNTIF(Vertices[PageRank],"&gt;="&amp;P55)</f>
        <v>0</v>
      </c>
      <c r="R54" s="39">
        <f t="shared" si="17"/>
        <v>0.43181818181818077</v>
      </c>
      <c r="S54" s="45">
        <f>COUNTIF(Vertices[Clustering Coefficient],"&gt;= "&amp;R54)-COUNTIF(Vertices[Clustering Coefficient],"&gt;="&amp;R55)</f>
        <v>0</v>
      </c>
      <c r="T54" s="39" t="e">
        <f ca="1" t="shared" si="18"/>
        <v>#REF!</v>
      </c>
      <c r="U54" s="40" t="e">
        <f ca="1" t="shared" si="0"/>
        <v>#REF!</v>
      </c>
    </row>
    <row r="55" spans="1:21" ht="15">
      <c r="A55" s="35" t="s">
        <v>81</v>
      </c>
      <c r="B55" s="48" t="str">
        <f>IF(COUNT(Vertices[Degree])&gt;0,D2,NoMetricMessage)</f>
        <v>Not Available</v>
      </c>
      <c r="D55" s="34">
        <f t="shared" si="10"/>
        <v>0</v>
      </c>
      <c r="E55" s="3">
        <f>COUNTIF(Vertices[Degree],"&gt;= "&amp;D55)-COUNTIF(Vertices[Degree],"&gt;="&amp;D56)</f>
        <v>0</v>
      </c>
      <c r="F55" s="41">
        <f t="shared" si="11"/>
        <v>2.9818181818181824</v>
      </c>
      <c r="G55" s="42">
        <f>COUNTIF(Vertices[In-Degree],"&gt;= "&amp;F55)-COUNTIF(Vertices[In-Degree],"&gt;="&amp;F56)</f>
        <v>1</v>
      </c>
      <c r="H55" s="41">
        <f t="shared" si="12"/>
        <v>1.4909090909090912</v>
      </c>
      <c r="I55" s="42">
        <f>COUNTIF(Vertices[Out-Degree],"&gt;= "&amp;H55)-COUNTIF(Vertices[Out-Degree],"&gt;="&amp;H56)</f>
        <v>0</v>
      </c>
      <c r="J55" s="41">
        <f t="shared" si="13"/>
        <v>2.2363636363636354</v>
      </c>
      <c r="K55" s="42">
        <f>COUNTIF(Vertices[Betweenness Centrality],"&gt;= "&amp;J55)-COUNTIF(Vertices[Betweenness Centrality],"&gt;="&amp;J56)</f>
        <v>0</v>
      </c>
      <c r="L55" s="41">
        <f t="shared" si="14"/>
        <v>0.22878796363636356</v>
      </c>
      <c r="M55" s="42">
        <f>COUNTIF(Vertices[Closeness Centrality],"&gt;= "&amp;L55)-COUNTIF(Vertices[Closeness Centrality],"&gt;="&amp;L56)</f>
        <v>0</v>
      </c>
      <c r="N55" s="41">
        <f t="shared" si="15"/>
        <v>0.22878796363636356</v>
      </c>
      <c r="O55" s="42">
        <f>COUNTIF(Vertices[Eigenvector Centrality],"&gt;= "&amp;N55)-COUNTIF(Vertices[Eigenvector Centrality],"&gt;="&amp;N56)</f>
        <v>0</v>
      </c>
      <c r="P55" s="41">
        <f t="shared" si="16"/>
        <v>1.224018999999999</v>
      </c>
      <c r="Q55" s="42">
        <f>COUNTIF(Vertices[PageRank],"&gt;= "&amp;P55)-COUNTIF(Vertices[PageRank],"&gt;="&amp;P56)</f>
        <v>0</v>
      </c>
      <c r="R55" s="41">
        <f t="shared" si="17"/>
        <v>0.4363636363636353</v>
      </c>
      <c r="S55" s="46">
        <f>COUNTIF(Vertices[Clustering Coefficient],"&gt;= "&amp;R55)-COUNTIF(Vertices[Clustering Coefficient],"&gt;="&amp;R56)</f>
        <v>0</v>
      </c>
      <c r="T55" s="41" t="e">
        <f ca="1" t="shared" si="18"/>
        <v>#REF!</v>
      </c>
      <c r="U55" s="42" t="e">
        <f ca="1" t="shared" si="0"/>
        <v>#REF!</v>
      </c>
    </row>
    <row r="56" spans="1:21" ht="15">
      <c r="A56" s="35" t="s">
        <v>82</v>
      </c>
      <c r="B56" s="48" t="str">
        <f>IF(COUNT(Vertices[Degree])&gt;0,D57,NoMetricMessage)</f>
        <v>Not Available</v>
      </c>
      <c r="D56" s="34">
        <f t="shared" si="10"/>
        <v>0</v>
      </c>
      <c r="E56" s="3">
        <f>COUNTIF(Vertices[Degree],"&gt;= "&amp;D56)-COUNTIF(Vertices[Degree],"&gt;="&amp;D57)</f>
        <v>0</v>
      </c>
      <c r="F56" s="39">
        <f t="shared" si="11"/>
        <v>3.054545454545455</v>
      </c>
      <c r="G56" s="40">
        <f>COUNTIF(Vertices[In-Degree],"&gt;= "&amp;F56)-COUNTIF(Vertices[In-Degree],"&gt;="&amp;F57)</f>
        <v>0</v>
      </c>
      <c r="H56" s="39">
        <f t="shared" si="12"/>
        <v>1.5272727272727276</v>
      </c>
      <c r="I56" s="40">
        <f>COUNTIF(Vertices[Out-Degree],"&gt;= "&amp;H56)-COUNTIF(Vertices[Out-Degree],"&gt;="&amp;H57)</f>
        <v>0</v>
      </c>
      <c r="J56" s="39">
        <f t="shared" si="13"/>
        <v>2.29090909090909</v>
      </c>
      <c r="K56" s="40">
        <f>COUNTIF(Vertices[Betweenness Centrality],"&gt;= "&amp;J56)-COUNTIF(Vertices[Betweenness Centrality],"&gt;="&amp;J57)</f>
        <v>0</v>
      </c>
      <c r="L56" s="39">
        <f t="shared" si="14"/>
        <v>0.230303109090909</v>
      </c>
      <c r="M56" s="40">
        <f>COUNTIF(Vertices[Closeness Centrality],"&gt;= "&amp;L56)-COUNTIF(Vertices[Closeness Centrality],"&gt;="&amp;L57)</f>
        <v>0</v>
      </c>
      <c r="N56" s="39">
        <f t="shared" si="15"/>
        <v>0.230303109090909</v>
      </c>
      <c r="O56" s="40">
        <f>COUNTIF(Vertices[Eigenvector Centrality],"&gt;= "&amp;N56)-COUNTIF(Vertices[Eigenvector Centrality],"&gt;="&amp;N57)</f>
        <v>0</v>
      </c>
      <c r="P56" s="39">
        <f t="shared" si="16"/>
        <v>1.235814999999999</v>
      </c>
      <c r="Q56" s="40">
        <f>COUNTIF(Vertices[PageRank],"&gt;= "&amp;P56)-COUNTIF(Vertices[PageRank],"&gt;="&amp;P57)</f>
        <v>0</v>
      </c>
      <c r="R56" s="39">
        <f t="shared" si="17"/>
        <v>0.4409090909090898</v>
      </c>
      <c r="S56" s="45">
        <f>COUNTIF(Vertices[Clustering Coefficient],"&gt;= "&amp;R56)-COUNTIF(Vertices[Clustering Coefficient],"&gt;="&amp;R57)</f>
        <v>0</v>
      </c>
      <c r="T56" s="39" t="e">
        <f ca="1" t="shared" si="18"/>
        <v>#REF!</v>
      </c>
      <c r="U56" s="40" t="e">
        <f ca="1" t="shared" si="0"/>
        <v>#REF!</v>
      </c>
    </row>
    <row r="57" spans="1:21" ht="15">
      <c r="A57" s="35" t="s">
        <v>83</v>
      </c>
      <c r="B57" s="49" t="str">
        <f>_xlfn.IFERROR(AVERAGE(Vertices[Degree]),NoMetricMessage)</f>
        <v>Not Available</v>
      </c>
      <c r="D57" s="34">
        <f>MAX(Vertices[Degree])</f>
        <v>0</v>
      </c>
      <c r="E57" s="3">
        <f>COUNTIF(Vertices[Degree],"&gt;= "&amp;D57)-COUNTIF(Vertices[Degree],"&gt;="&amp;D58)</f>
        <v>0</v>
      </c>
      <c r="F57" s="43">
        <f>MAX(Vertices[In-Degree])</f>
        <v>4</v>
      </c>
      <c r="G57" s="44">
        <f>COUNTIF(Vertices[In-Degree],"&gt;= "&amp;F57)-COUNTIF(Vertices[In-Degree],"&gt;="&amp;F58)</f>
        <v>1</v>
      </c>
      <c r="H57" s="43">
        <f>MAX(Vertices[Out-Degree])</f>
        <v>2</v>
      </c>
      <c r="I57" s="44">
        <f>COUNTIF(Vertices[Out-Degree],"&gt;= "&amp;H57)-COUNTIF(Vertices[Out-Degree],"&gt;="&amp;H58)</f>
        <v>3</v>
      </c>
      <c r="J57" s="43">
        <f>MAX(Vertices[Betweenness Centrality])</f>
        <v>3</v>
      </c>
      <c r="K57" s="44">
        <f>COUNTIF(Vertices[Betweenness Centrality],"&gt;= "&amp;J57)-COUNTIF(Vertices[Betweenness Centrality],"&gt;="&amp;J58)</f>
        <v>2</v>
      </c>
      <c r="L57" s="43">
        <f>MAX(Vertices[Closeness Centrality])</f>
        <v>0.25</v>
      </c>
      <c r="M57" s="44">
        <f>COUNTIF(Vertices[Closeness Centrality],"&gt;= "&amp;L57)-COUNTIF(Vertices[Closeness Centrality],"&gt;="&amp;L58)</f>
        <v>2</v>
      </c>
      <c r="N57" s="43">
        <f>MAX(Vertices[Eigenvector Centrality])</f>
        <v>0.25</v>
      </c>
      <c r="O57" s="44">
        <f>COUNTIF(Vertices[Eigenvector Centrality],"&gt;= "&amp;N57)-COUNTIF(Vertices[Eigenvector Centrality],"&gt;="&amp;N58)</f>
        <v>2</v>
      </c>
      <c r="P57" s="43">
        <f>MAX(Vertices[PageRank])</f>
        <v>1.389163</v>
      </c>
      <c r="Q57" s="44">
        <f>COUNTIF(Vertices[PageRank],"&gt;= "&amp;P57)-COUNTIF(Vertices[PageRank],"&gt;="&amp;P58)</f>
        <v>2</v>
      </c>
      <c r="R57" s="43">
        <f>MAX(Vertices[Clustering Coefficient])</f>
        <v>0.5</v>
      </c>
      <c r="S57" s="47">
        <f>COUNTIF(Vertices[Clustering Coefficient],"&gt;= "&amp;R57)-COUNTIF(Vertices[Clustering Coefficient],"&gt;="&amp;R58)</f>
        <v>3</v>
      </c>
      <c r="T57" s="43" t="e">
        <f ca="1">MAX(INDIRECT(DynamicFilterSourceColumnRange))</f>
        <v>#REF!</v>
      </c>
      <c r="U57" s="44" t="e">
        <f ca="1" t="shared" si="0"/>
        <v>#REF!</v>
      </c>
    </row>
    <row r="58" spans="1:2" ht="15">
      <c r="A58" s="35" t="s">
        <v>84</v>
      </c>
      <c r="B58" s="49" t="str">
        <f>_xlfn.IFERROR(MEDIAN(Vertices[Degree]),NoMetricMessage)</f>
        <v>Not Available</v>
      </c>
    </row>
    <row r="69" spans="1:2" ht="15">
      <c r="A69" s="35" t="s">
        <v>88</v>
      </c>
      <c r="B69" s="48">
        <f>IF(COUNT(Vertices[In-Degree])&gt;0,F2,NoMetricMessage)</f>
        <v>0</v>
      </c>
    </row>
    <row r="70" spans="1:2" ht="15">
      <c r="A70" s="35" t="s">
        <v>89</v>
      </c>
      <c r="B70" s="48">
        <f>IF(COUNT(Vertices[In-Degree])&gt;0,F57,NoMetricMessage)</f>
        <v>4</v>
      </c>
    </row>
    <row r="71" spans="1:2" ht="15">
      <c r="A71" s="35" t="s">
        <v>90</v>
      </c>
      <c r="B71" s="49">
        <f>_xlfn.IFERROR(AVERAGE(Vertices[In-Degree]),NoMetricMessage)</f>
        <v>1.4</v>
      </c>
    </row>
    <row r="72" spans="1:2" ht="15">
      <c r="A72" s="35" t="s">
        <v>91</v>
      </c>
      <c r="B72" s="49">
        <f>_xlfn.IFERROR(MEDIAN(Vertices[In-Degree]),NoMetricMessage)</f>
        <v>0</v>
      </c>
    </row>
    <row r="83" spans="1:2" ht="15">
      <c r="A83" s="35" t="s">
        <v>94</v>
      </c>
      <c r="B83" s="48">
        <f>IF(COUNT(Vertices[Out-Degree])&gt;0,H2,NoMetricMessage)</f>
        <v>0</v>
      </c>
    </row>
    <row r="84" spans="1:2" ht="15">
      <c r="A84" s="35" t="s">
        <v>95</v>
      </c>
      <c r="B84" s="48">
        <f>IF(COUNT(Vertices[Out-Degree])&gt;0,H57,NoMetricMessage)</f>
        <v>2</v>
      </c>
    </row>
    <row r="85" spans="1:2" ht="15">
      <c r="A85" s="35" t="s">
        <v>96</v>
      </c>
      <c r="B85" s="49">
        <f>_xlfn.IFERROR(AVERAGE(Vertices[Out-Degree]),NoMetricMessage)</f>
        <v>1.4</v>
      </c>
    </row>
    <row r="86" spans="1:2" ht="15">
      <c r="A86" s="35" t="s">
        <v>97</v>
      </c>
      <c r="B86" s="49">
        <f>_xlfn.IFERROR(MEDIAN(Vertices[Out-Degree]),NoMetricMessage)</f>
        <v>2</v>
      </c>
    </row>
    <row r="97" spans="1:2" ht="15">
      <c r="A97" s="35" t="s">
        <v>100</v>
      </c>
      <c r="B97" s="49">
        <f>IF(COUNT(Vertices[Betweenness Centrality])&gt;0,J2,NoMetricMessage)</f>
        <v>0</v>
      </c>
    </row>
    <row r="98" spans="1:2" ht="15">
      <c r="A98" s="35" t="s">
        <v>101</v>
      </c>
      <c r="B98" s="49">
        <f>IF(COUNT(Vertices[Betweenness Centrality])&gt;0,J57,NoMetricMessage)</f>
        <v>3</v>
      </c>
    </row>
    <row r="99" spans="1:2" ht="15">
      <c r="A99" s="35" t="s">
        <v>102</v>
      </c>
      <c r="B99" s="49">
        <f>_xlfn.IFERROR(AVERAGE(Vertices[Betweenness Centrality]),NoMetricMessage)</f>
        <v>1.2</v>
      </c>
    </row>
    <row r="100" spans="1:2" ht="15">
      <c r="A100" s="35" t="s">
        <v>103</v>
      </c>
      <c r="B100" s="49">
        <f>_xlfn.IFERROR(MEDIAN(Vertices[Betweenness Centrality]),NoMetricMessage)</f>
        <v>0</v>
      </c>
    </row>
    <row r="111" spans="1:2" ht="15">
      <c r="A111" s="35" t="s">
        <v>106</v>
      </c>
      <c r="B111" s="49">
        <f>IF(COUNT(Vertices[Closeness Centrality])&gt;0,L2,NoMetricMessage)</f>
        <v>0.166667</v>
      </c>
    </row>
    <row r="112" spans="1:2" ht="15">
      <c r="A112" s="35" t="s">
        <v>107</v>
      </c>
      <c r="B112" s="49">
        <f>IF(COUNT(Vertices[Closeness Centrality])&gt;0,L57,NoMetricMessage)</f>
        <v>0.25</v>
      </c>
    </row>
    <row r="113" spans="1:2" ht="15">
      <c r="A113" s="35" t="s">
        <v>108</v>
      </c>
      <c r="B113" s="49">
        <f>_xlfn.IFERROR(AVERAGE(Vertices[Closeness Centrality]),NoMetricMessage)</f>
        <v>0.20000020000000002</v>
      </c>
    </row>
    <row r="114" spans="1:2" ht="15">
      <c r="A114" s="35" t="s">
        <v>109</v>
      </c>
      <c r="B114" s="49">
        <f>_xlfn.IFERROR(MEDIAN(Vertices[Closeness Centrality]),NoMetricMessage)</f>
        <v>0.166667</v>
      </c>
    </row>
    <row r="125" spans="1:2" ht="15">
      <c r="A125" s="35" t="s">
        <v>112</v>
      </c>
      <c r="B125" s="49">
        <f>IF(COUNT(Vertices[Eigenvector Centrality])&gt;0,N2,NoMetricMessage)</f>
        <v>0.166667</v>
      </c>
    </row>
    <row r="126" spans="1:2" ht="15">
      <c r="A126" s="35" t="s">
        <v>113</v>
      </c>
      <c r="B126" s="49">
        <f>IF(COUNT(Vertices[Eigenvector Centrality])&gt;0,N57,NoMetricMessage)</f>
        <v>0.25</v>
      </c>
    </row>
    <row r="127" spans="1:2" ht="15">
      <c r="A127" s="35" t="s">
        <v>114</v>
      </c>
      <c r="B127" s="49">
        <f>_xlfn.IFERROR(AVERAGE(Vertices[Eigenvector Centrality]),NoMetricMessage)</f>
        <v>0.20000020000000002</v>
      </c>
    </row>
    <row r="128" spans="1:2" ht="15">
      <c r="A128" s="35" t="s">
        <v>115</v>
      </c>
      <c r="B128" s="49">
        <f>_xlfn.IFERROR(MEDIAN(Vertices[Eigenvector Centrality]),NoMetricMessage)</f>
        <v>0.166667</v>
      </c>
    </row>
    <row r="139" spans="1:2" ht="15">
      <c r="A139" s="35" t="s">
        <v>140</v>
      </c>
      <c r="B139" s="49">
        <f>IF(COUNT(Vertices[PageRank])&gt;0,P2,NoMetricMessage)</f>
        <v>0.740383</v>
      </c>
    </row>
    <row r="140" spans="1:2" ht="15">
      <c r="A140" s="35" t="s">
        <v>141</v>
      </c>
      <c r="B140" s="49">
        <f>IF(COUNT(Vertices[PageRank])&gt;0,P57,NoMetricMessage)</f>
        <v>1.389163</v>
      </c>
    </row>
    <row r="141" spans="1:2" ht="15">
      <c r="A141" s="35" t="s">
        <v>142</v>
      </c>
      <c r="B141" s="49">
        <f>_xlfn.IFERROR(AVERAGE(Vertices[PageRank]),NoMetricMessage)</f>
        <v>0.9998950000000001</v>
      </c>
    </row>
    <row r="142" spans="1:2" ht="15">
      <c r="A142" s="35" t="s">
        <v>143</v>
      </c>
      <c r="B142" s="49">
        <f>_xlfn.IFERROR(MEDIAN(Vertices[PageRank]),NoMetricMessage)</f>
        <v>0.740383</v>
      </c>
    </row>
    <row r="153" spans="1:2" ht="15">
      <c r="A153" s="35" t="s">
        <v>118</v>
      </c>
      <c r="B153" s="49">
        <f>IF(COUNT(Vertices[Clustering Coefficient])&gt;0,R2,NoMetricMessage)</f>
        <v>0.25</v>
      </c>
    </row>
    <row r="154" spans="1:2" ht="15">
      <c r="A154" s="35" t="s">
        <v>119</v>
      </c>
      <c r="B154" s="49">
        <f>IF(COUNT(Vertices[Clustering Coefficient])&gt;0,R57,NoMetricMessage)</f>
        <v>0.5</v>
      </c>
    </row>
    <row r="155" spans="1:2" ht="15">
      <c r="A155" s="35" t="s">
        <v>120</v>
      </c>
      <c r="B155" s="49">
        <f>_xlfn.IFERROR(AVERAGE(Vertices[Clustering Coefficient]),NoMetricMessage)</f>
        <v>0.4</v>
      </c>
    </row>
    <row r="156" spans="1:2" ht="15">
      <c r="A156" s="35" t="s">
        <v>121</v>
      </c>
      <c r="B156" s="49">
        <f>_xlfn.IFERROR(MEDIAN(Vertices[Clustering Coefficient]),NoMetricMessage)</f>
        <v>0.5</v>
      </c>
    </row>
  </sheetData>
  <printOptions/>
  <pageMargins left="0.7" right="0.7" top="0.75" bottom="0.75" header="0.3" footer="0.3"/>
  <pageSetup horizontalDpi="600" verticalDpi="600" orientation="portrait" r:id="rId8"/>
  <drawing r:id="rId7"/>
  <legacyDrawing r:id="rId2"/>
  <tableParts>
    <tablePart r:id="rId4"/>
    <tablePart r:id="rId6"/>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304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305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306</v>
      </c>
      <c r="K7" s="13" t="s">
        <v>307</v>
      </c>
    </row>
    <row r="8" spans="1:11" ht="409.5">
      <c r="A8"/>
      <c r="B8">
        <v>2</v>
      </c>
      <c r="C8">
        <v>2</v>
      </c>
      <c r="D8" t="s">
        <v>61</v>
      </c>
      <c r="E8" t="s">
        <v>61</v>
      </c>
      <c r="H8" t="s">
        <v>73</v>
      </c>
      <c r="J8" t="s">
        <v>308</v>
      </c>
      <c r="K8" s="13" t="s">
        <v>309</v>
      </c>
    </row>
    <row r="9" spans="1:11" ht="409.5">
      <c r="A9"/>
      <c r="B9">
        <v>3</v>
      </c>
      <c r="C9">
        <v>4</v>
      </c>
      <c r="D9" t="s">
        <v>62</v>
      </c>
      <c r="E9" t="s">
        <v>62</v>
      </c>
      <c r="H9" t="s">
        <v>74</v>
      </c>
      <c r="J9" t="s">
        <v>310</v>
      </c>
      <c r="K9" s="119" t="s">
        <v>311</v>
      </c>
    </row>
    <row r="10" spans="1:11" ht="409.5">
      <c r="A10"/>
      <c r="B10">
        <v>4</v>
      </c>
      <c r="D10" t="s">
        <v>63</v>
      </c>
      <c r="E10" t="s">
        <v>63</v>
      </c>
      <c r="H10" t="s">
        <v>75</v>
      </c>
      <c r="J10" t="s">
        <v>312</v>
      </c>
      <c r="K10" s="13" t="s">
        <v>313</v>
      </c>
    </row>
    <row r="11" spans="1:11" ht="15">
      <c r="A11"/>
      <c r="B11">
        <v>5</v>
      </c>
      <c r="D11" t="s">
        <v>46</v>
      </c>
      <c r="E11">
        <v>1</v>
      </c>
      <c r="H11" t="s">
        <v>76</v>
      </c>
      <c r="J11" t="s">
        <v>314</v>
      </c>
      <c r="K11" t="s">
        <v>315</v>
      </c>
    </row>
    <row r="12" spans="1:11" ht="15">
      <c r="A12"/>
      <c r="B12"/>
      <c r="D12" t="s">
        <v>64</v>
      </c>
      <c r="E12">
        <v>2</v>
      </c>
      <c r="H12">
        <v>0</v>
      </c>
      <c r="J12" t="s">
        <v>316</v>
      </c>
      <c r="K12" t="s">
        <v>317</v>
      </c>
    </row>
    <row r="13" spans="1:11" ht="15">
      <c r="A13"/>
      <c r="B13"/>
      <c r="D13">
        <v>1</v>
      </c>
      <c r="E13">
        <v>3</v>
      </c>
      <c r="H13">
        <v>1</v>
      </c>
      <c r="J13" t="s">
        <v>318</v>
      </c>
      <c r="K13" t="s">
        <v>319</v>
      </c>
    </row>
    <row r="14" spans="4:11" ht="15">
      <c r="D14">
        <v>2</v>
      </c>
      <c r="E14">
        <v>4</v>
      </c>
      <c r="H14">
        <v>2</v>
      </c>
      <c r="J14" t="s">
        <v>320</v>
      </c>
      <c r="K14" t="s">
        <v>321</v>
      </c>
    </row>
    <row r="15" spans="4:11" ht="15">
      <c r="D15">
        <v>3</v>
      </c>
      <c r="E15">
        <v>5</v>
      </c>
      <c r="H15">
        <v>3</v>
      </c>
      <c r="J15" t="s">
        <v>322</v>
      </c>
      <c r="K15" t="s">
        <v>323</v>
      </c>
    </row>
    <row r="16" spans="4:11" ht="15">
      <c r="D16">
        <v>4</v>
      </c>
      <c r="E16">
        <v>6</v>
      </c>
      <c r="H16">
        <v>4</v>
      </c>
      <c r="J16" t="s">
        <v>324</v>
      </c>
      <c r="K16" t="s">
        <v>325</v>
      </c>
    </row>
    <row r="17" spans="4:11" ht="15">
      <c r="D17">
        <v>5</v>
      </c>
      <c r="E17">
        <v>7</v>
      </c>
      <c r="H17">
        <v>5</v>
      </c>
      <c r="J17" t="s">
        <v>326</v>
      </c>
      <c r="K17" t="s">
        <v>327</v>
      </c>
    </row>
    <row r="18" spans="4:11" ht="15">
      <c r="D18">
        <v>6</v>
      </c>
      <c r="E18">
        <v>8</v>
      </c>
      <c r="H18">
        <v>6</v>
      </c>
      <c r="J18" t="s">
        <v>328</v>
      </c>
      <c r="K18" t="s">
        <v>329</v>
      </c>
    </row>
    <row r="19" spans="4:11" ht="15">
      <c r="D19">
        <v>7</v>
      </c>
      <c r="E19">
        <v>9</v>
      </c>
      <c r="H19">
        <v>7</v>
      </c>
      <c r="J19" t="s">
        <v>330</v>
      </c>
      <c r="K19" t="s">
        <v>331</v>
      </c>
    </row>
    <row r="20" spans="4:11" ht="15">
      <c r="D20">
        <v>8</v>
      </c>
      <c r="H20">
        <v>8</v>
      </c>
      <c r="J20" t="s">
        <v>332</v>
      </c>
      <c r="K20" t="s">
        <v>333</v>
      </c>
    </row>
    <row r="21" spans="4:11" ht="409.5">
      <c r="D21">
        <v>9</v>
      </c>
      <c r="H21">
        <v>9</v>
      </c>
      <c r="J21" t="s">
        <v>334</v>
      </c>
      <c r="K21" s="13" t="s">
        <v>335</v>
      </c>
    </row>
    <row r="22" spans="4:11" ht="409.5">
      <c r="D22">
        <v>10</v>
      </c>
      <c r="J22" t="s">
        <v>336</v>
      </c>
      <c r="K22" s="13" t="s">
        <v>337</v>
      </c>
    </row>
    <row r="23" spans="4:11" ht="409.5">
      <c r="D23">
        <v>11</v>
      </c>
      <c r="J23" t="s">
        <v>338</v>
      </c>
      <c r="K23" s="13" t="s">
        <v>339</v>
      </c>
    </row>
    <row r="24" spans="10:11" ht="409.5">
      <c r="J24" t="s">
        <v>340</v>
      </c>
      <c r="K24" s="13" t="s">
        <v>485</v>
      </c>
    </row>
    <row r="25" spans="10:11" ht="15">
      <c r="J25" t="s">
        <v>341</v>
      </c>
      <c r="K25" t="b">
        <v>0</v>
      </c>
    </row>
    <row r="26" spans="10:11" ht="15">
      <c r="J26" t="s">
        <v>482</v>
      </c>
      <c r="K26" t="s">
        <v>483</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3"/>
  <sheetViews>
    <sheetView workbookViewId="0" topLeftCell="A1"/>
  </sheetViews>
  <sheetFormatPr defaultColWidth="9.140625" defaultRowHeight="15"/>
  <cols>
    <col min="1" max="1" width="39.7109375" style="0" customWidth="1"/>
    <col min="2" max="2" width="20.140625" style="0" bestFit="1" customWidth="1"/>
    <col min="3" max="3" width="29.7109375" style="0" customWidth="1"/>
    <col min="4" max="4" width="11.140625" style="0" bestFit="1" customWidth="1"/>
  </cols>
  <sheetData>
    <row r="1" spans="1:4" ht="15" customHeight="1">
      <c r="A1" s="86" t="s">
        <v>348</v>
      </c>
      <c r="B1" s="86" t="s">
        <v>349</v>
      </c>
      <c r="C1" s="86" t="s">
        <v>350</v>
      </c>
      <c r="D1" s="86" t="s">
        <v>351</v>
      </c>
    </row>
    <row r="2" spans="1:4" ht="15">
      <c r="A2" s="86"/>
      <c r="B2" s="86"/>
      <c r="C2" s="86"/>
      <c r="D2" s="86"/>
    </row>
    <row r="4" spans="1:4" ht="15" customHeight="1">
      <c r="A4" s="86" t="s">
        <v>353</v>
      </c>
      <c r="B4" s="86" t="s">
        <v>349</v>
      </c>
      <c r="C4" s="86" t="s">
        <v>354</v>
      </c>
      <c r="D4" s="86" t="s">
        <v>351</v>
      </c>
    </row>
    <row r="5" spans="1:4" ht="15">
      <c r="A5" s="86"/>
      <c r="B5" s="86"/>
      <c r="C5" s="86"/>
      <c r="D5" s="86"/>
    </row>
    <row r="7" spans="1:4" ht="15" customHeight="1">
      <c r="A7" s="13" t="s">
        <v>356</v>
      </c>
      <c r="B7" s="13" t="s">
        <v>349</v>
      </c>
      <c r="C7" s="13" t="s">
        <v>361</v>
      </c>
      <c r="D7" s="13" t="s">
        <v>351</v>
      </c>
    </row>
    <row r="8" spans="1:4" ht="15">
      <c r="A8" s="86" t="s">
        <v>222</v>
      </c>
      <c r="B8" s="86">
        <v>4</v>
      </c>
      <c r="C8" s="86" t="s">
        <v>222</v>
      </c>
      <c r="D8" s="86">
        <v>4</v>
      </c>
    </row>
    <row r="9" spans="1:4" ht="15">
      <c r="A9" s="86" t="s">
        <v>357</v>
      </c>
      <c r="B9" s="86">
        <v>1</v>
      </c>
      <c r="C9" s="86" t="s">
        <v>357</v>
      </c>
      <c r="D9" s="86">
        <v>1</v>
      </c>
    </row>
    <row r="10" spans="1:4" ht="15">
      <c r="A10" s="86" t="s">
        <v>358</v>
      </c>
      <c r="B10" s="86">
        <v>1</v>
      </c>
      <c r="C10" s="86" t="s">
        <v>358</v>
      </c>
      <c r="D10" s="86">
        <v>1</v>
      </c>
    </row>
    <row r="11" spans="1:4" ht="15">
      <c r="A11" s="86" t="s">
        <v>359</v>
      </c>
      <c r="B11" s="86">
        <v>1</v>
      </c>
      <c r="C11" s="86" t="s">
        <v>359</v>
      </c>
      <c r="D11" s="86">
        <v>1</v>
      </c>
    </row>
    <row r="12" spans="1:4" ht="15">
      <c r="A12" s="86" t="s">
        <v>360</v>
      </c>
      <c r="B12" s="86">
        <v>1</v>
      </c>
      <c r="C12" s="86" t="s">
        <v>360</v>
      </c>
      <c r="D12" s="86">
        <v>1</v>
      </c>
    </row>
    <row r="15" spans="1:4" ht="15" customHeight="1">
      <c r="A15" s="13" t="s">
        <v>363</v>
      </c>
      <c r="B15" s="13" t="s">
        <v>349</v>
      </c>
      <c r="C15" s="13" t="s">
        <v>374</v>
      </c>
      <c r="D15" s="13" t="s">
        <v>351</v>
      </c>
    </row>
    <row r="16" spans="1:4" ht="15">
      <c r="A16" s="94" t="s">
        <v>364</v>
      </c>
      <c r="B16" s="94">
        <v>4</v>
      </c>
      <c r="C16" s="94" t="s">
        <v>369</v>
      </c>
      <c r="D16" s="94">
        <v>8</v>
      </c>
    </row>
    <row r="17" spans="1:4" ht="15">
      <c r="A17" s="94" t="s">
        <v>365</v>
      </c>
      <c r="B17" s="94">
        <v>0</v>
      </c>
      <c r="C17" s="94" t="s">
        <v>370</v>
      </c>
      <c r="D17" s="94">
        <v>4</v>
      </c>
    </row>
    <row r="18" spans="1:4" ht="15">
      <c r="A18" s="94" t="s">
        <v>366</v>
      </c>
      <c r="B18" s="94">
        <v>0</v>
      </c>
      <c r="C18" s="94" t="s">
        <v>371</v>
      </c>
      <c r="D18" s="94">
        <v>4</v>
      </c>
    </row>
    <row r="19" spans="1:4" ht="15">
      <c r="A19" s="94" t="s">
        <v>367</v>
      </c>
      <c r="B19" s="94">
        <v>100</v>
      </c>
      <c r="C19" s="94" t="s">
        <v>372</v>
      </c>
      <c r="D19" s="94">
        <v>4</v>
      </c>
    </row>
    <row r="20" spans="1:4" ht="15">
      <c r="A20" s="94" t="s">
        <v>368</v>
      </c>
      <c r="B20" s="94">
        <v>104</v>
      </c>
      <c r="C20" s="94" t="s">
        <v>373</v>
      </c>
      <c r="D20" s="94">
        <v>4</v>
      </c>
    </row>
    <row r="21" spans="1:4" ht="15">
      <c r="A21" s="94" t="s">
        <v>369</v>
      </c>
      <c r="B21" s="94">
        <v>8</v>
      </c>
      <c r="C21" s="94" t="s">
        <v>375</v>
      </c>
      <c r="D21" s="94">
        <v>4</v>
      </c>
    </row>
    <row r="22" spans="1:4" ht="15">
      <c r="A22" s="94" t="s">
        <v>370</v>
      </c>
      <c r="B22" s="94">
        <v>4</v>
      </c>
      <c r="C22" s="94" t="s">
        <v>376</v>
      </c>
      <c r="D22" s="94">
        <v>4</v>
      </c>
    </row>
    <row r="23" spans="1:4" ht="15">
      <c r="A23" s="94" t="s">
        <v>371</v>
      </c>
      <c r="B23" s="94">
        <v>4</v>
      </c>
      <c r="C23" s="94" t="s">
        <v>377</v>
      </c>
      <c r="D23" s="94">
        <v>4</v>
      </c>
    </row>
    <row r="24" spans="1:4" ht="15">
      <c r="A24" s="94" t="s">
        <v>372</v>
      </c>
      <c r="B24" s="94">
        <v>4</v>
      </c>
      <c r="C24" s="94" t="s">
        <v>378</v>
      </c>
      <c r="D24" s="94">
        <v>4</v>
      </c>
    </row>
    <row r="25" spans="1:4" ht="15">
      <c r="A25" s="94" t="s">
        <v>373</v>
      </c>
      <c r="B25" s="94">
        <v>4</v>
      </c>
      <c r="C25" s="94" t="s">
        <v>379</v>
      </c>
      <c r="D25" s="94">
        <v>4</v>
      </c>
    </row>
    <row r="28" spans="1:4" ht="15" customHeight="1">
      <c r="A28" s="13" t="s">
        <v>382</v>
      </c>
      <c r="B28" s="13" t="s">
        <v>349</v>
      </c>
      <c r="C28" s="13" t="s">
        <v>393</v>
      </c>
      <c r="D28" s="13" t="s">
        <v>351</v>
      </c>
    </row>
    <row r="29" spans="1:4" ht="15">
      <c r="A29" s="94" t="s">
        <v>383</v>
      </c>
      <c r="B29" s="94">
        <v>4</v>
      </c>
      <c r="C29" s="94" t="s">
        <v>383</v>
      </c>
      <c r="D29" s="94">
        <v>4</v>
      </c>
    </row>
    <row r="30" spans="1:4" ht="15">
      <c r="A30" s="94" t="s">
        <v>384</v>
      </c>
      <c r="B30" s="94">
        <v>4</v>
      </c>
      <c r="C30" s="94" t="s">
        <v>384</v>
      </c>
      <c r="D30" s="94">
        <v>4</v>
      </c>
    </row>
    <row r="31" spans="1:4" ht="15">
      <c r="A31" s="94" t="s">
        <v>385</v>
      </c>
      <c r="B31" s="94">
        <v>4</v>
      </c>
      <c r="C31" s="94" t="s">
        <v>385</v>
      </c>
      <c r="D31" s="94">
        <v>4</v>
      </c>
    </row>
    <row r="32" spans="1:4" ht="15">
      <c r="A32" s="94" t="s">
        <v>386</v>
      </c>
      <c r="B32" s="94">
        <v>4</v>
      </c>
      <c r="C32" s="94" t="s">
        <v>386</v>
      </c>
      <c r="D32" s="94">
        <v>4</v>
      </c>
    </row>
    <row r="33" spans="1:4" ht="15">
      <c r="A33" s="94" t="s">
        <v>387</v>
      </c>
      <c r="B33" s="94">
        <v>4</v>
      </c>
      <c r="C33" s="94" t="s">
        <v>387</v>
      </c>
      <c r="D33" s="94">
        <v>4</v>
      </c>
    </row>
    <row r="34" spans="1:4" ht="15">
      <c r="A34" s="94" t="s">
        <v>388</v>
      </c>
      <c r="B34" s="94">
        <v>4</v>
      </c>
      <c r="C34" s="94" t="s">
        <v>388</v>
      </c>
      <c r="D34" s="94">
        <v>4</v>
      </c>
    </row>
    <row r="35" spans="1:4" ht="15">
      <c r="A35" s="94" t="s">
        <v>389</v>
      </c>
      <c r="B35" s="94">
        <v>4</v>
      </c>
      <c r="C35" s="94" t="s">
        <v>389</v>
      </c>
      <c r="D35" s="94">
        <v>4</v>
      </c>
    </row>
    <row r="36" spans="1:4" ht="15">
      <c r="A36" s="94" t="s">
        <v>390</v>
      </c>
      <c r="B36" s="94">
        <v>4</v>
      </c>
      <c r="C36" s="94" t="s">
        <v>390</v>
      </c>
      <c r="D36" s="94">
        <v>4</v>
      </c>
    </row>
    <row r="37" spans="1:4" ht="15">
      <c r="A37" s="94" t="s">
        <v>391</v>
      </c>
      <c r="B37" s="94">
        <v>4</v>
      </c>
      <c r="C37" s="94" t="s">
        <v>391</v>
      </c>
      <c r="D37" s="94">
        <v>4</v>
      </c>
    </row>
    <row r="38" spans="1:4" ht="15">
      <c r="A38" s="94" t="s">
        <v>392</v>
      </c>
      <c r="B38" s="94">
        <v>4</v>
      </c>
      <c r="C38" s="94" t="s">
        <v>392</v>
      </c>
      <c r="D38" s="94">
        <v>4</v>
      </c>
    </row>
    <row r="41" spans="1:4" ht="15" customHeight="1">
      <c r="A41" s="86" t="s">
        <v>396</v>
      </c>
      <c r="B41" s="86" t="s">
        <v>349</v>
      </c>
      <c r="C41" s="86" t="s">
        <v>398</v>
      </c>
      <c r="D41" s="86" t="s">
        <v>351</v>
      </c>
    </row>
    <row r="42" spans="1:4" ht="15">
      <c r="A42" s="86"/>
      <c r="B42" s="86"/>
      <c r="C42" s="86"/>
      <c r="D42" s="86"/>
    </row>
    <row r="44" spans="1:4" ht="15" customHeight="1">
      <c r="A44" s="13" t="s">
        <v>397</v>
      </c>
      <c r="B44" s="13" t="s">
        <v>349</v>
      </c>
      <c r="C44" s="13" t="s">
        <v>399</v>
      </c>
      <c r="D44" s="13" t="s">
        <v>351</v>
      </c>
    </row>
    <row r="45" spans="1:4" ht="15">
      <c r="A45" s="86" t="s">
        <v>218</v>
      </c>
      <c r="B45" s="86">
        <v>4</v>
      </c>
      <c r="C45" s="86" t="s">
        <v>218</v>
      </c>
      <c r="D45" s="86">
        <v>4</v>
      </c>
    </row>
    <row r="48" spans="1:4" ht="15" customHeight="1">
      <c r="A48" s="13" t="s">
        <v>402</v>
      </c>
      <c r="B48" s="13" t="s">
        <v>349</v>
      </c>
      <c r="C48" s="13" t="s">
        <v>403</v>
      </c>
      <c r="D48" s="13" t="s">
        <v>351</v>
      </c>
    </row>
    <row r="49" spans="1:4" ht="15">
      <c r="A49" s="120" t="s">
        <v>215</v>
      </c>
      <c r="B49" s="86">
        <v>118086</v>
      </c>
      <c r="C49" s="120" t="s">
        <v>215</v>
      </c>
      <c r="D49" s="86">
        <v>118086</v>
      </c>
    </row>
    <row r="50" spans="1:4" ht="15">
      <c r="A50" s="120" t="s">
        <v>214</v>
      </c>
      <c r="B50" s="86">
        <v>11014</v>
      </c>
      <c r="C50" s="120" t="s">
        <v>214</v>
      </c>
      <c r="D50" s="86">
        <v>11014</v>
      </c>
    </row>
    <row r="51" spans="1:4" ht="15">
      <c r="A51" s="120" t="s">
        <v>217</v>
      </c>
      <c r="B51" s="86">
        <v>3051</v>
      </c>
      <c r="C51" s="120" t="s">
        <v>217</v>
      </c>
      <c r="D51" s="86">
        <v>3051</v>
      </c>
    </row>
    <row r="52" spans="1:4" ht="15">
      <c r="A52" s="120" t="s">
        <v>218</v>
      </c>
      <c r="B52" s="86">
        <v>2906</v>
      </c>
      <c r="C52" s="120" t="s">
        <v>218</v>
      </c>
      <c r="D52" s="86">
        <v>2906</v>
      </c>
    </row>
    <row r="53" spans="1:4" ht="15">
      <c r="A53" s="120" t="s">
        <v>216</v>
      </c>
      <c r="B53" s="86">
        <v>396</v>
      </c>
      <c r="C53" s="120" t="s">
        <v>216</v>
      </c>
      <c r="D53" s="86">
        <v>396</v>
      </c>
    </row>
  </sheetData>
  <printOptions/>
  <pageMargins left="0.7" right="0.7" top="0.75" bottom="0.75" header="0.3" footer="0.3"/>
  <pageSetup orientation="portrait" paperSize="9"/>
  <tableParts>
    <tablePart r:id="rId1"/>
    <tablePart r:id="rId5"/>
    <tablePart r:id="rId6"/>
    <tablePart r:id="rId2"/>
    <tablePart r:id="rId7"/>
    <tablePart r:id="rId3"/>
    <tablePart r:id="rId4"/>
    <tablePart r:id="rId8"/>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
  <sheetViews>
    <sheetView workbookViewId="0" topLeftCell="A1"/>
  </sheetViews>
  <sheetFormatPr defaultColWidth="9.140625" defaultRowHeight="15"/>
  <cols>
    <col min="1" max="1" width="8.00390625" style="0" bestFit="1" customWidth="1"/>
    <col min="2" max="2" width="8.421875" style="0" bestFit="1" customWidth="1"/>
    <col min="3" max="3" width="10.57421875" style="0" bestFit="1" customWidth="1"/>
    <col min="4" max="4" width="8.57421875" style="0" bestFit="1" customWidth="1"/>
    <col min="5" max="5" width="35.140625" style="0" bestFit="1" customWidth="1"/>
    <col min="6" max="6" width="36.140625" style="0" bestFit="1" customWidth="1"/>
    <col min="7" max="7" width="40.8515625" style="0" bestFit="1" customWidth="1"/>
  </cols>
  <sheetData>
    <row r="1" spans="1:7" ht="15" customHeight="1">
      <c r="A1" s="13" t="s">
        <v>416</v>
      </c>
      <c r="B1" s="13" t="s">
        <v>425</v>
      </c>
      <c r="C1" s="13" t="s">
        <v>426</v>
      </c>
      <c r="D1" s="13" t="s">
        <v>144</v>
      </c>
      <c r="E1" s="13" t="s">
        <v>428</v>
      </c>
      <c r="F1" s="13" t="s">
        <v>429</v>
      </c>
      <c r="G1" s="13" t="s">
        <v>430</v>
      </c>
    </row>
    <row r="2" spans="1:7" ht="15">
      <c r="A2" s="86" t="s">
        <v>364</v>
      </c>
      <c r="B2" s="86">
        <v>4</v>
      </c>
      <c r="C2" s="124">
        <v>0.038461538461538464</v>
      </c>
      <c r="D2" s="86" t="s">
        <v>427</v>
      </c>
      <c r="E2" s="86"/>
      <c r="F2" s="86"/>
      <c r="G2" s="86"/>
    </row>
    <row r="3" spans="1:7" ht="15">
      <c r="A3" s="86" t="s">
        <v>365</v>
      </c>
      <c r="B3" s="86">
        <v>0</v>
      </c>
      <c r="C3" s="124">
        <v>0</v>
      </c>
      <c r="D3" s="86" t="s">
        <v>427</v>
      </c>
      <c r="E3" s="86"/>
      <c r="F3" s="86"/>
      <c r="G3" s="86"/>
    </row>
    <row r="4" spans="1:7" ht="15">
      <c r="A4" s="86" t="s">
        <v>366</v>
      </c>
      <c r="B4" s="86">
        <v>0</v>
      </c>
      <c r="C4" s="124">
        <v>0</v>
      </c>
      <c r="D4" s="86" t="s">
        <v>427</v>
      </c>
      <c r="E4" s="86"/>
      <c r="F4" s="86"/>
      <c r="G4" s="86"/>
    </row>
    <row r="5" spans="1:7" ht="15">
      <c r="A5" s="86" t="s">
        <v>367</v>
      </c>
      <c r="B5" s="86">
        <v>100</v>
      </c>
      <c r="C5" s="124">
        <v>0.9615384615384616</v>
      </c>
      <c r="D5" s="86" t="s">
        <v>427</v>
      </c>
      <c r="E5" s="86"/>
      <c r="F5" s="86"/>
      <c r="G5" s="86"/>
    </row>
    <row r="6" spans="1:7" ht="15">
      <c r="A6" s="86" t="s">
        <v>368</v>
      </c>
      <c r="B6" s="86">
        <v>104</v>
      </c>
      <c r="C6" s="124">
        <v>1</v>
      </c>
      <c r="D6" s="86" t="s">
        <v>427</v>
      </c>
      <c r="E6" s="86"/>
      <c r="F6" s="86"/>
      <c r="G6" s="86"/>
    </row>
    <row r="7" spans="1:7" ht="15">
      <c r="A7" s="94" t="s">
        <v>369</v>
      </c>
      <c r="B7" s="94">
        <v>8</v>
      </c>
      <c r="C7" s="125">
        <v>0</v>
      </c>
      <c r="D7" s="94" t="s">
        <v>427</v>
      </c>
      <c r="E7" s="94" t="b">
        <v>0</v>
      </c>
      <c r="F7" s="94" t="b">
        <v>0</v>
      </c>
      <c r="G7" s="94" t="b">
        <v>0</v>
      </c>
    </row>
    <row r="8" spans="1:7" ht="15">
      <c r="A8" s="94" t="s">
        <v>370</v>
      </c>
      <c r="B8" s="94">
        <v>4</v>
      </c>
      <c r="C8" s="125">
        <v>0</v>
      </c>
      <c r="D8" s="94" t="s">
        <v>427</v>
      </c>
      <c r="E8" s="94" t="b">
        <v>0</v>
      </c>
      <c r="F8" s="94" t="b">
        <v>0</v>
      </c>
      <c r="G8" s="94" t="b">
        <v>0</v>
      </c>
    </row>
    <row r="9" spans="1:7" ht="15">
      <c r="A9" s="94" t="s">
        <v>371</v>
      </c>
      <c r="B9" s="94">
        <v>4</v>
      </c>
      <c r="C9" s="125">
        <v>0</v>
      </c>
      <c r="D9" s="94" t="s">
        <v>427</v>
      </c>
      <c r="E9" s="94" t="b">
        <v>0</v>
      </c>
      <c r="F9" s="94" t="b">
        <v>0</v>
      </c>
      <c r="G9" s="94" t="b">
        <v>0</v>
      </c>
    </row>
    <row r="10" spans="1:7" ht="15">
      <c r="A10" s="94" t="s">
        <v>372</v>
      </c>
      <c r="B10" s="94">
        <v>4</v>
      </c>
      <c r="C10" s="125">
        <v>0</v>
      </c>
      <c r="D10" s="94" t="s">
        <v>427</v>
      </c>
      <c r="E10" s="94" t="b">
        <v>1</v>
      </c>
      <c r="F10" s="94" t="b">
        <v>0</v>
      </c>
      <c r="G10" s="94" t="b">
        <v>0</v>
      </c>
    </row>
    <row r="11" spans="1:7" ht="15">
      <c r="A11" s="94" t="s">
        <v>373</v>
      </c>
      <c r="B11" s="94">
        <v>4</v>
      </c>
      <c r="C11" s="125">
        <v>0</v>
      </c>
      <c r="D11" s="94" t="s">
        <v>427</v>
      </c>
      <c r="E11" s="94" t="b">
        <v>0</v>
      </c>
      <c r="F11" s="94" t="b">
        <v>0</v>
      </c>
      <c r="G11" s="94" t="b">
        <v>0</v>
      </c>
    </row>
    <row r="12" spans="1:7" ht="15">
      <c r="A12" s="94" t="s">
        <v>375</v>
      </c>
      <c r="B12" s="94">
        <v>4</v>
      </c>
      <c r="C12" s="125">
        <v>0</v>
      </c>
      <c r="D12" s="94" t="s">
        <v>427</v>
      </c>
      <c r="E12" s="94" t="b">
        <v>0</v>
      </c>
      <c r="F12" s="94" t="b">
        <v>0</v>
      </c>
      <c r="G12" s="94" t="b">
        <v>0</v>
      </c>
    </row>
    <row r="13" spans="1:7" ht="15">
      <c r="A13" s="94" t="s">
        <v>376</v>
      </c>
      <c r="B13" s="94">
        <v>4</v>
      </c>
      <c r="C13" s="125">
        <v>0</v>
      </c>
      <c r="D13" s="94" t="s">
        <v>427</v>
      </c>
      <c r="E13" s="94" t="b">
        <v>0</v>
      </c>
      <c r="F13" s="94" t="b">
        <v>0</v>
      </c>
      <c r="G13" s="94" t="b">
        <v>0</v>
      </c>
    </row>
    <row r="14" spans="1:7" ht="15">
      <c r="A14" s="94" t="s">
        <v>377</v>
      </c>
      <c r="B14" s="94">
        <v>4</v>
      </c>
      <c r="C14" s="125">
        <v>0</v>
      </c>
      <c r="D14" s="94" t="s">
        <v>427</v>
      </c>
      <c r="E14" s="94" t="b">
        <v>0</v>
      </c>
      <c r="F14" s="94" t="b">
        <v>0</v>
      </c>
      <c r="G14" s="94" t="b">
        <v>0</v>
      </c>
    </row>
    <row r="15" spans="1:7" ht="15">
      <c r="A15" s="94" t="s">
        <v>378</v>
      </c>
      <c r="B15" s="94">
        <v>4</v>
      </c>
      <c r="C15" s="125">
        <v>0</v>
      </c>
      <c r="D15" s="94" t="s">
        <v>427</v>
      </c>
      <c r="E15" s="94" t="b">
        <v>0</v>
      </c>
      <c r="F15" s="94" t="b">
        <v>0</v>
      </c>
      <c r="G15" s="94" t="b">
        <v>0</v>
      </c>
    </row>
    <row r="16" spans="1:7" ht="15">
      <c r="A16" s="94" t="s">
        <v>379</v>
      </c>
      <c r="B16" s="94">
        <v>4</v>
      </c>
      <c r="C16" s="125">
        <v>0</v>
      </c>
      <c r="D16" s="94" t="s">
        <v>427</v>
      </c>
      <c r="E16" s="94" t="b">
        <v>0</v>
      </c>
      <c r="F16" s="94" t="b">
        <v>0</v>
      </c>
      <c r="G16" s="94" t="b">
        <v>0</v>
      </c>
    </row>
    <row r="17" spans="1:7" ht="15">
      <c r="A17" s="94" t="s">
        <v>417</v>
      </c>
      <c r="B17" s="94">
        <v>4</v>
      </c>
      <c r="C17" s="125">
        <v>0</v>
      </c>
      <c r="D17" s="94" t="s">
        <v>427</v>
      </c>
      <c r="E17" s="94" t="b">
        <v>0</v>
      </c>
      <c r="F17" s="94" t="b">
        <v>0</v>
      </c>
      <c r="G17" s="94" t="b">
        <v>0</v>
      </c>
    </row>
    <row r="18" spans="1:7" ht="15">
      <c r="A18" s="94" t="s">
        <v>418</v>
      </c>
      <c r="B18" s="94">
        <v>4</v>
      </c>
      <c r="C18" s="125">
        <v>0</v>
      </c>
      <c r="D18" s="94" t="s">
        <v>427</v>
      </c>
      <c r="E18" s="94" t="b">
        <v>0</v>
      </c>
      <c r="F18" s="94" t="b">
        <v>0</v>
      </c>
      <c r="G18" s="94" t="b">
        <v>0</v>
      </c>
    </row>
    <row r="19" spans="1:7" ht="15">
      <c r="A19" s="94" t="s">
        <v>419</v>
      </c>
      <c r="B19" s="94">
        <v>4</v>
      </c>
      <c r="C19" s="125">
        <v>0</v>
      </c>
      <c r="D19" s="94" t="s">
        <v>427</v>
      </c>
      <c r="E19" s="94" t="b">
        <v>0</v>
      </c>
      <c r="F19" s="94" t="b">
        <v>0</v>
      </c>
      <c r="G19" s="94" t="b">
        <v>0</v>
      </c>
    </row>
    <row r="20" spans="1:7" ht="15">
      <c r="A20" s="94" t="s">
        <v>420</v>
      </c>
      <c r="B20" s="94">
        <v>4</v>
      </c>
      <c r="C20" s="125">
        <v>0</v>
      </c>
      <c r="D20" s="94" t="s">
        <v>427</v>
      </c>
      <c r="E20" s="94" t="b">
        <v>0</v>
      </c>
      <c r="F20" s="94" t="b">
        <v>0</v>
      </c>
      <c r="G20" s="94" t="b">
        <v>0</v>
      </c>
    </row>
    <row r="21" spans="1:7" ht="15">
      <c r="A21" s="94" t="s">
        <v>421</v>
      </c>
      <c r="B21" s="94">
        <v>4</v>
      </c>
      <c r="C21" s="125">
        <v>0</v>
      </c>
      <c r="D21" s="94" t="s">
        <v>427</v>
      </c>
      <c r="E21" s="94" t="b">
        <v>0</v>
      </c>
      <c r="F21" s="94" t="b">
        <v>0</v>
      </c>
      <c r="G21" s="94" t="b">
        <v>0</v>
      </c>
    </row>
    <row r="22" spans="1:7" ht="15">
      <c r="A22" s="94" t="s">
        <v>422</v>
      </c>
      <c r="B22" s="94">
        <v>4</v>
      </c>
      <c r="C22" s="125">
        <v>0</v>
      </c>
      <c r="D22" s="94" t="s">
        <v>427</v>
      </c>
      <c r="E22" s="94" t="b">
        <v>0</v>
      </c>
      <c r="F22" s="94" t="b">
        <v>0</v>
      </c>
      <c r="G22" s="94" t="b">
        <v>0</v>
      </c>
    </row>
    <row r="23" spans="1:7" ht="15">
      <c r="A23" s="94" t="s">
        <v>423</v>
      </c>
      <c r="B23" s="94">
        <v>4</v>
      </c>
      <c r="C23" s="125">
        <v>0</v>
      </c>
      <c r="D23" s="94" t="s">
        <v>427</v>
      </c>
      <c r="E23" s="94" t="b">
        <v>0</v>
      </c>
      <c r="F23" s="94" t="b">
        <v>0</v>
      </c>
      <c r="G23" s="94" t="b">
        <v>0</v>
      </c>
    </row>
    <row r="24" spans="1:7" ht="15">
      <c r="A24" s="94" t="s">
        <v>424</v>
      </c>
      <c r="B24" s="94">
        <v>4</v>
      </c>
      <c r="C24" s="125">
        <v>0</v>
      </c>
      <c r="D24" s="94" t="s">
        <v>427</v>
      </c>
      <c r="E24" s="94" t="b">
        <v>0</v>
      </c>
      <c r="F24" s="94" t="b">
        <v>0</v>
      </c>
      <c r="G24" s="94" t="b">
        <v>0</v>
      </c>
    </row>
    <row r="25" spans="1:7" ht="15">
      <c r="A25" s="94" t="s">
        <v>218</v>
      </c>
      <c r="B25" s="94">
        <v>4</v>
      </c>
      <c r="C25" s="125">
        <v>0</v>
      </c>
      <c r="D25" s="94" t="s">
        <v>427</v>
      </c>
      <c r="E25" s="94" t="b">
        <v>0</v>
      </c>
      <c r="F25" s="94" t="b">
        <v>0</v>
      </c>
      <c r="G25" s="94" t="b">
        <v>0</v>
      </c>
    </row>
    <row r="26" spans="1:7" ht="15">
      <c r="A26" s="94" t="s">
        <v>369</v>
      </c>
      <c r="B26" s="94">
        <v>8</v>
      </c>
      <c r="C26" s="125">
        <v>0</v>
      </c>
      <c r="D26" s="94" t="s">
        <v>343</v>
      </c>
      <c r="E26" s="94" t="b">
        <v>0</v>
      </c>
      <c r="F26" s="94" t="b">
        <v>0</v>
      </c>
      <c r="G26" s="94" t="b">
        <v>0</v>
      </c>
    </row>
    <row r="27" spans="1:7" ht="15">
      <c r="A27" s="94" t="s">
        <v>370</v>
      </c>
      <c r="B27" s="94">
        <v>4</v>
      </c>
      <c r="C27" s="125">
        <v>0</v>
      </c>
      <c r="D27" s="94" t="s">
        <v>343</v>
      </c>
      <c r="E27" s="94" t="b">
        <v>0</v>
      </c>
      <c r="F27" s="94" t="b">
        <v>0</v>
      </c>
      <c r="G27" s="94" t="b">
        <v>0</v>
      </c>
    </row>
    <row r="28" spans="1:7" ht="15">
      <c r="A28" s="94" t="s">
        <v>371</v>
      </c>
      <c r="B28" s="94">
        <v>4</v>
      </c>
      <c r="C28" s="125">
        <v>0</v>
      </c>
      <c r="D28" s="94" t="s">
        <v>343</v>
      </c>
      <c r="E28" s="94" t="b">
        <v>0</v>
      </c>
      <c r="F28" s="94" t="b">
        <v>0</v>
      </c>
      <c r="G28" s="94" t="b">
        <v>0</v>
      </c>
    </row>
    <row r="29" spans="1:7" ht="15">
      <c r="A29" s="94" t="s">
        <v>372</v>
      </c>
      <c r="B29" s="94">
        <v>4</v>
      </c>
      <c r="C29" s="125">
        <v>0</v>
      </c>
      <c r="D29" s="94" t="s">
        <v>343</v>
      </c>
      <c r="E29" s="94" t="b">
        <v>1</v>
      </c>
      <c r="F29" s="94" t="b">
        <v>0</v>
      </c>
      <c r="G29" s="94" t="b">
        <v>0</v>
      </c>
    </row>
    <row r="30" spans="1:7" ht="15">
      <c r="A30" s="94" t="s">
        <v>373</v>
      </c>
      <c r="B30" s="94">
        <v>4</v>
      </c>
      <c r="C30" s="125">
        <v>0</v>
      </c>
      <c r="D30" s="94" t="s">
        <v>343</v>
      </c>
      <c r="E30" s="94" t="b">
        <v>0</v>
      </c>
      <c r="F30" s="94" t="b">
        <v>0</v>
      </c>
      <c r="G30" s="94" t="b">
        <v>0</v>
      </c>
    </row>
    <row r="31" spans="1:7" ht="15">
      <c r="A31" s="94" t="s">
        <v>375</v>
      </c>
      <c r="B31" s="94">
        <v>4</v>
      </c>
      <c r="C31" s="125">
        <v>0</v>
      </c>
      <c r="D31" s="94" t="s">
        <v>343</v>
      </c>
      <c r="E31" s="94" t="b">
        <v>0</v>
      </c>
      <c r="F31" s="94" t="b">
        <v>0</v>
      </c>
      <c r="G31" s="94" t="b">
        <v>0</v>
      </c>
    </row>
    <row r="32" spans="1:7" ht="15">
      <c r="A32" s="94" t="s">
        <v>376</v>
      </c>
      <c r="B32" s="94">
        <v>4</v>
      </c>
      <c r="C32" s="125">
        <v>0</v>
      </c>
      <c r="D32" s="94" t="s">
        <v>343</v>
      </c>
      <c r="E32" s="94" t="b">
        <v>0</v>
      </c>
      <c r="F32" s="94" t="b">
        <v>0</v>
      </c>
      <c r="G32" s="94" t="b">
        <v>0</v>
      </c>
    </row>
    <row r="33" spans="1:7" ht="15">
      <c r="A33" s="94" t="s">
        <v>377</v>
      </c>
      <c r="B33" s="94">
        <v>4</v>
      </c>
      <c r="C33" s="125">
        <v>0</v>
      </c>
      <c r="D33" s="94" t="s">
        <v>343</v>
      </c>
      <c r="E33" s="94" t="b">
        <v>0</v>
      </c>
      <c r="F33" s="94" t="b">
        <v>0</v>
      </c>
      <c r="G33" s="94" t="b">
        <v>0</v>
      </c>
    </row>
    <row r="34" spans="1:7" ht="15">
      <c r="A34" s="94" t="s">
        <v>378</v>
      </c>
      <c r="B34" s="94">
        <v>4</v>
      </c>
      <c r="C34" s="125">
        <v>0</v>
      </c>
      <c r="D34" s="94" t="s">
        <v>343</v>
      </c>
      <c r="E34" s="94" t="b">
        <v>0</v>
      </c>
      <c r="F34" s="94" t="b">
        <v>0</v>
      </c>
      <c r="G34" s="94" t="b">
        <v>0</v>
      </c>
    </row>
    <row r="35" spans="1:7" ht="15">
      <c r="A35" s="94" t="s">
        <v>379</v>
      </c>
      <c r="B35" s="94">
        <v>4</v>
      </c>
      <c r="C35" s="125">
        <v>0</v>
      </c>
      <c r="D35" s="94" t="s">
        <v>343</v>
      </c>
      <c r="E35" s="94" t="b">
        <v>0</v>
      </c>
      <c r="F35" s="94" t="b">
        <v>0</v>
      </c>
      <c r="G35" s="94" t="b">
        <v>0</v>
      </c>
    </row>
    <row r="36" spans="1:7" ht="15">
      <c r="A36" s="94" t="s">
        <v>417</v>
      </c>
      <c r="B36" s="94">
        <v>4</v>
      </c>
      <c r="C36" s="125">
        <v>0</v>
      </c>
      <c r="D36" s="94" t="s">
        <v>343</v>
      </c>
      <c r="E36" s="94" t="b">
        <v>0</v>
      </c>
      <c r="F36" s="94" t="b">
        <v>0</v>
      </c>
      <c r="G36" s="94" t="b">
        <v>0</v>
      </c>
    </row>
    <row r="37" spans="1:7" ht="15">
      <c r="A37" s="94" t="s">
        <v>418</v>
      </c>
      <c r="B37" s="94">
        <v>4</v>
      </c>
      <c r="C37" s="125">
        <v>0</v>
      </c>
      <c r="D37" s="94" t="s">
        <v>343</v>
      </c>
      <c r="E37" s="94" t="b">
        <v>0</v>
      </c>
      <c r="F37" s="94" t="b">
        <v>0</v>
      </c>
      <c r="G37" s="94" t="b">
        <v>0</v>
      </c>
    </row>
    <row r="38" spans="1:7" ht="15">
      <c r="A38" s="94" t="s">
        <v>419</v>
      </c>
      <c r="B38" s="94">
        <v>4</v>
      </c>
      <c r="C38" s="125">
        <v>0</v>
      </c>
      <c r="D38" s="94" t="s">
        <v>343</v>
      </c>
      <c r="E38" s="94" t="b">
        <v>0</v>
      </c>
      <c r="F38" s="94" t="b">
        <v>0</v>
      </c>
      <c r="G38" s="94" t="b">
        <v>0</v>
      </c>
    </row>
    <row r="39" spans="1:7" ht="15">
      <c r="A39" s="94" t="s">
        <v>420</v>
      </c>
      <c r="B39" s="94">
        <v>4</v>
      </c>
      <c r="C39" s="125">
        <v>0</v>
      </c>
      <c r="D39" s="94" t="s">
        <v>343</v>
      </c>
      <c r="E39" s="94" t="b">
        <v>0</v>
      </c>
      <c r="F39" s="94" t="b">
        <v>0</v>
      </c>
      <c r="G39" s="94" t="b">
        <v>0</v>
      </c>
    </row>
    <row r="40" spans="1:7" ht="15">
      <c r="A40" s="94" t="s">
        <v>421</v>
      </c>
      <c r="B40" s="94">
        <v>4</v>
      </c>
      <c r="C40" s="125">
        <v>0</v>
      </c>
      <c r="D40" s="94" t="s">
        <v>343</v>
      </c>
      <c r="E40" s="94" t="b">
        <v>0</v>
      </c>
      <c r="F40" s="94" t="b">
        <v>0</v>
      </c>
      <c r="G40" s="94" t="b">
        <v>0</v>
      </c>
    </row>
    <row r="41" spans="1:7" ht="15">
      <c r="A41" s="94" t="s">
        <v>422</v>
      </c>
      <c r="B41" s="94">
        <v>4</v>
      </c>
      <c r="C41" s="125">
        <v>0</v>
      </c>
      <c r="D41" s="94" t="s">
        <v>343</v>
      </c>
      <c r="E41" s="94" t="b">
        <v>0</v>
      </c>
      <c r="F41" s="94" t="b">
        <v>0</v>
      </c>
      <c r="G41" s="94" t="b">
        <v>0</v>
      </c>
    </row>
    <row r="42" spans="1:7" ht="15">
      <c r="A42" s="94" t="s">
        <v>423</v>
      </c>
      <c r="B42" s="94">
        <v>4</v>
      </c>
      <c r="C42" s="125">
        <v>0</v>
      </c>
      <c r="D42" s="94" t="s">
        <v>343</v>
      </c>
      <c r="E42" s="94" t="b">
        <v>0</v>
      </c>
      <c r="F42" s="94" t="b">
        <v>0</v>
      </c>
      <c r="G42" s="94" t="b">
        <v>0</v>
      </c>
    </row>
    <row r="43" spans="1:7" ht="15">
      <c r="A43" s="94" t="s">
        <v>424</v>
      </c>
      <c r="B43" s="94">
        <v>4</v>
      </c>
      <c r="C43" s="125">
        <v>0</v>
      </c>
      <c r="D43" s="94" t="s">
        <v>343</v>
      </c>
      <c r="E43" s="94" t="b">
        <v>0</v>
      </c>
      <c r="F43" s="94" t="b">
        <v>0</v>
      </c>
      <c r="G43" s="94" t="b">
        <v>0</v>
      </c>
    </row>
    <row r="44" spans="1:7" ht="15">
      <c r="A44" s="94" t="s">
        <v>218</v>
      </c>
      <c r="B44" s="94">
        <v>4</v>
      </c>
      <c r="C44" s="125">
        <v>0</v>
      </c>
      <c r="D44" s="94" t="s">
        <v>343</v>
      </c>
      <c r="E44" s="94" t="b">
        <v>0</v>
      </c>
      <c r="F44" s="94" t="b">
        <v>0</v>
      </c>
      <c r="G44" s="9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D4FE74CB-FF23-42D1-9D1B-05845EF30D7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2019-10-22T17:47:57Z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