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<sst xmlns="http://schemas.openxmlformats.org/spreadsheetml/2006/main" count="1848" uniqueCount="586">
  <si>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</si>
  <si>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</si>
  <si>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</si>
  <si>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</si>
  <si>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</si>
  <si>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</si>
  <si>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</si>
  <si>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</si>
  <si>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</si>
  <si>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</si>
  <si>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</si>
  <si>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</si>
  <si>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</si>
  <si>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</si>
  <si>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</si>
  <si>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</si>
  <si>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</si>
  <si>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</si>
  <si>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</si>
  <si>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</si>
  <si>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</si>
  <si>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</si>
  <si>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</si>
  <si>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</si>
  <si>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</si>
  <si>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</si>
  <si>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</si>
  <si>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</si>
  <si>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</si>
  <si>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</si>
  <si>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</si>
  <si>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</si>
  <si>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</si>
  <si>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</si>
  <si>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</si>
  <si>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</si>
  <si>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</si>
  <si>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</si>
  <si>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</si>
  <si>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</si>
  <si>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</si>
  <si>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</si>
  <si>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</si>
  <si>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</si>
  <si>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</si>
  <si>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</si>
  <si>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</si>
  <si>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</si>
  <si>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</si>
  <si>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</si>
  <si>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</si>
  <si>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</si>
  <si>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</si>
  <si>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</si>
  <si>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</si>
  <si>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</si>
  <si>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</si>
  <si>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</si>
  <si>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</si>
  <si>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</si>
  <si>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</si>
  <si>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</si>
  <si>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</si>
  <si>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</si>
  <si>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</si>
  <si>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</si>
  <si>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</si>
  <si>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</si>
  <si>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</si>
  <si>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</si>
  <si>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</si>
  <si>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</si>
  <si>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</si>
  <si>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</si>
  <si>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</si>
  <si>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</si>
  <si>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</si>
  <si>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</si>
  <si>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</si>
  <si>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</si>
  <si>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</si>
  <si>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</si>
  <si>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</si>
  <si>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</si>
  <si>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</si>
  <si>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</si>
  <si>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</si>
  <si>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</si>
  <si>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</si>
  <si>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</si>
  <si>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</si>
  <si>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</si>
  <si>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</si>
  <si>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</si>
  <si>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</si>
  <si>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</si>
  <si>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</si>
  <si>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</si>
  <si>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</si>
  <si>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</si>
  <si>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</si>
  <si>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</si>
  <si>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</si>
  <si>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</si>
  <si>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</si>
  <si>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</si>
  <si>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</si>
  <si>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</si>
  <si>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</si>
  <si>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</si>
  <si>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</si>
  <si>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</si>
  <si>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</si>
  <si>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</si>
  <si>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</si>
  <si>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</si>
  <si>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</si>
  <si>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</si>
  <si>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</si>
  <si>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</si>
  <si>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</si>
  <si>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</si>
  <si>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</si>
  <si>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</si>
  <si>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</si>
  <si>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</si>
  <si>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</si>
  <si>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</si>
  <si>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</si>
  <si>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</si>
  <si>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</si>
  <si>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</si>
  <si>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</si>
  <si>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</si>
  <si>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</si>
  <si>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</si>
  <si>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</si>
  <si>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</si>
  <si>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</si>
  <si>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</si>
  <si>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</si>
  <si>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</si>
  <si>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</si>
  <si>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</si>
  <si>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</si>
  <si>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</si>
  <si>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</si>
  <si>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</si>
  <si>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</si>
  <si>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</si>
  <si>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</si>
  <si>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</si>
  <si>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</si>
  <si>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</si>
  <si>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</si>
  <si>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</si>
  <si>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</si>
  <si>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</si>
  <si>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</si>
  <si>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</si>
  <si>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</si>
  <si>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</si>
  <si>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</si>
  <si>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</si>
  <si>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</si>
  <si>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</si>
  <si>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</si>
  <si>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</si>
  <si>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</si>
  <si>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</si>
  <si>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</si>
  <si>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</si>
  <si>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</si>
  <si>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</si>
  <si>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</si>
  <si>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</si>
  <si>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</si>
  <si>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</si>
  <si>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</si>
  <si>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</si>
  <si>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</si>
  <si>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</si>
  <si>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</si>
  <si>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</si>
  <si>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</si>
  <si>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</si>
  <si>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</si>
  <si>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</si>
  <si>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</si>
  <si>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 xml:space="preserve">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t>
  </si>
  <si>
    <t>Workbook Settings 18</t>
  </si>
  <si>
    <t>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t>
  </si>
  <si>
    <t>Workbook Settings 19</t>
  </si>
  <si>
    <t>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</si>
  <si>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</si>
  <si>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</si>
  <si>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</si>
  <si>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t>
  </si>
  <si>
    <t xml:space="preserve">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t>
  </si>
  <si>
    <t>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t>
  </si>
  <si>
    <t>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t>
  </si>
  <si>
    <t>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t>
  </si>
  <si>
    <t>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t>
  </si>
  <si>
    <t xml:space="preserve">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t>
  </si>
  <si>
    <t>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t>
  </si>
  <si>
    <t>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t>
  </si>
  <si>
    <t xml:space="preserve">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t>
  </si>
  <si>
    <t>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t>
  </si>
  <si>
    <t>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t>
  </si>
  <si>
    <t>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
  </si>
  <si>
    <t>tySourceColumnName" serializeAs="String"&gt;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t>
  </si>
  <si>
    <t>Autofill Workbook Results</t>
  </si>
  <si>
    <t>Graph History</t>
  </si>
  <si>
    <t>Relationship</t>
  </si>
  <si>
    <t>Edge Weight</t>
  </si>
  <si>
    <t>Edge Type</t>
  </si>
  <si>
    <t>Edit Comment</t>
  </si>
  <si>
    <t>Edit Size</t>
  </si>
  <si>
    <t>182.48.236.153</t>
  </si>
  <si>
    <t>Bruce1ee</t>
  </si>
  <si>
    <t>Apparition11</t>
  </si>
  <si>
    <t>174.233.16.171</t>
  </si>
  <si>
    <t>General Ization</t>
  </si>
  <si>
    <t>Ingenuity</t>
  </si>
  <si>
    <t>45.116.232.9</t>
  </si>
  <si>
    <t>Lowercase sigmabot III</t>
  </si>
  <si>
    <t>Kuru</t>
  </si>
  <si>
    <t>195.175.105.254</t>
  </si>
  <si>
    <t>41.116.138.173</t>
  </si>
  <si>
    <t>HexC3D</t>
  </si>
  <si>
    <t>KristinaAllen</t>
  </si>
  <si>
    <t>Nat842</t>
  </si>
  <si>
    <t>119.157.84.196</t>
  </si>
  <si>
    <t>103.174.85.71</t>
  </si>
  <si>
    <t>MrOllie</t>
  </si>
  <si>
    <t>Yisqo</t>
  </si>
  <si>
    <t>106.77.180.86</t>
  </si>
  <si>
    <t>223.123.112.63</t>
  </si>
  <si>
    <t>RudolfRed</t>
  </si>
  <si>
    <t>AnomieBOT</t>
  </si>
  <si>
    <t>99.229.43.127</t>
  </si>
  <si>
    <t>223.123.15.93</t>
  </si>
  <si>
    <t>223.123.10.107</t>
  </si>
  <si>
    <t>Mahdialjumcale</t>
  </si>
  <si>
    <t>Belbury</t>
  </si>
  <si>
    <t>Student20232</t>
  </si>
  <si>
    <t>Sunriseandsunsettttt</t>
  </si>
  <si>
    <t>Trey Maturin</t>
  </si>
  <si>
    <t>223.123.18.66</t>
  </si>
  <si>
    <t>Hanzla019</t>
  </si>
  <si>
    <t>LilianaUwU</t>
  </si>
  <si>
    <t>Community Tech bot</t>
  </si>
  <si>
    <t>User-User</t>
  </si>
  <si>
    <t>Discussion</t>
  </si>
  <si>
    <t>/* Sumbul touqeer hasan khan */ new section</t>
  </si>
  <si>
    <t>Reverted edits by [[Special:Contribs/182.48.236.153|182.48.236.153]] ([[User talk:182.48.236.153|talk]]) to last version by Community Tech bot</t>
  </si>
  <si>
    <t>Reverted edits by [[Special:Contribs/174.233.16.171|174.233.16.171]] ([[User talk:174.233.16.171|talk]]) to last version by Bruce1ee</t>
  </si>
  <si>
    <t>/* All people */ new section</t>
  </si>
  <si>
    <t>Reverted edits by [[Special:Contribs/174.233.16.171|174.233.16.171]] ([[User talk:174.233.16.171|talk]]) to last version by Apparition11</t>
  </si>
  <si>
    <t>/* All people _xD83E__xDD29_⚘_xD83D__xDC9B_ */ new section</t>
  </si>
  <si>
    <t>Reverted edits by [[Special:Contributions/174.233.16.171|174.233.16.171]] ([[User talk:174.233.16.171|talk]]) ([[WP:AntiVandal|AV]])</t>
  </si>
  <si>
    <t>/* Shahlog */ new section</t>
  </si>
  <si>
    <t>Archiving 2 discussion(s) to [[Talk:Social media/Archive 2]]) (bot</t>
  </si>
  <si>
    <t>rmv gibberish</t>
  </si>
  <si>
    <t>/* GooodGoogle  */ new section</t>
  </si>
  <si>
    <t>Reverted edits by [[Special:Contribs/195.175.105.254|195.175.105.254]] ([[User talk:195.175.105.254|talk]]) to last version by Kuru</t>
  </si>
  <si>
    <t>/* Life orientation */ new section</t>
  </si>
  <si>
    <t>Reverted edits by [[Special:Contribs/41.116.138.173|41.116.138.173]] ([[User talk:41.116.138.173|talk]]) to last version by Bruce1ee</t>
  </si>
  <si>
    <t>/* Impact of Social Media on Mental Health */ new section</t>
  </si>
  <si>
    <t>Update [[Wikipedia:Wiki_Ed/New_York_University/Research_Process_and_Methodology_-_SP23_-_Sect_201_-_Thu_(Spring_2023)|Research Process and Methodology - SP23 - Sect 201 - Thu]] assignment details</t>
  </si>
  <si>
    <t>/* Semi Protected Edit Request */ new section</t>
  </si>
  <si>
    <t>/* حضرت ابراھیم اور مردوں کو زندہ کرنے کا واقعہ */ new section</t>
  </si>
  <si>
    <t>/* ISP Nepal  */ new section</t>
  </si>
  <si>
    <t>Restored revision 1154018706 by [[Special:Contributions/119.157.84.196|119.157.84.196]] ([[User talk:119.157.84.196|talk]])</t>
  </si>
  <si>
    <t>/* Semi-protected edit request on 7 June 2023 */ new section</t>
  </si>
  <si>
    <t>/* Free fire */ new section</t>
  </si>
  <si>
    <t>Reverted edit by [[Special:Contribs/106.77.180.86|106.77.180.86]] ([[User talk:106.77.180.86|talk]]) to last version by Yisqo</t>
  </si>
  <si>
    <t>/* میرا ایڈی کا پاس ورڈ گم ہو ہے */ new section</t>
  </si>
  <si>
    <t>Reverted 1 edit by [[Special:Contributions/223.123.112.63|223.123.112.63]] ([[User talk:223.123.112.63|talk]]) to last revision by Bruce1ee</t>
  </si>
  <si>
    <t>/* Semi-protected edit request on 7 June 2023 */</t>
  </si>
  <si>
    <t>[[User:AnomieBOT/docs/TemplateSubster|Substing templates]]: {{ESp}}. See [[User:AnomieBOT/docs/TemplateSubster]] for info.</t>
  </si>
  <si>
    <t>/* "Content" on "social media" is also media */ new section</t>
  </si>
  <si>
    <t>/* TikTok  */ new section</t>
  </si>
  <si>
    <t>Restored revision 1160354788 by [[Special:Contributions/AnomieBOT|AnomieBOT]] ([[User talk:AnomieBOT|talk]])</t>
  </si>
  <si>
    <t>/* Ali */ new section</t>
  </si>
  <si>
    <t>Reverted 1 edit by [[Special:Contributions/223.123.10.107|223.123.10.107]] ([[User talk:223.123.10.107|talk]]) to last revision by MrOllie</t>
  </si>
  <si>
    <t>/* موقع up4cash */ new section</t>
  </si>
  <si>
    <t>/* موقع up4cash */ Reply</t>
  </si>
  <si>
    <t>Reverted 3 edits by [[Special:Contributions/Mahdialjumcale|Mahdialjumcale]] ([[User talk:Mahdialjumcale|talk]]) to last revision by MrOllie</t>
  </si>
  <si>
    <t>Restored revision 1167044086 by [[Special:Contributions/Student20232|Student20232]] ([[User talk:Student20232|talk]]): [[WP:NOTAFORUM]]</t>
  </si>
  <si>
    <t>/* 923467237682 */ new section</t>
  </si>
  <si>
    <t>Reverted 1 edit by [[Special:Contributions/223.123.18.66|223.123.18.66]] ([[User talk:223.123.18.66|talk]]): Off topic</t>
  </si>
  <si>
    <t>/* Pescatarian Diet */ new section</t>
  </si>
  <si>
    <t>/* Pescatarian Diet */ Reply</t>
  </si>
  <si>
    <t>Reverted 2 edits by [[Special:Contributions/Hanzla019|Hanzla019]] ([[User talk:Hanzla019|talk]]): Spam</t>
  </si>
  <si>
    <t>Files used on this page or its Wikidata item are up for deletion</t>
  </si>
  <si>
    <t>Custom Menu Item Text</t>
  </si>
  <si>
    <t>Custom Menu Item Action</t>
  </si>
  <si>
    <t>Vertex Type</t>
  </si>
  <si>
    <t>Content</t>
  </si>
  <si>
    <t>Age</t>
  </si>
  <si>
    <t>Gini Coefficient</t>
  </si>
  <si>
    <t>Nr Revisions</t>
  </si>
  <si>
    <t>URL</t>
  </si>
  <si>
    <t>Open Wiki Page for This User</t>
  </si>
  <si>
    <t>http://en.wikipedia.org/wiki/User:General Ization</t>
  </si>
  <si>
    <t>http://en.wikipedia.org/wiki/User:Lowercase sigmabot III</t>
  </si>
  <si>
    <t>http://en.wikipedia.org/wiki/User:Trey Maturin</t>
  </si>
  <si>
    <t>http://en.wikipedia.org/wiki/User:Community Tech bot</t>
  </si>
  <si>
    <t>Editor</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</si>
  <si>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</si>
  <si>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</si>
  <si>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</si>
  <si>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</si>
  <si>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</si>
  <si>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</si>
  <si>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</si>
  <si>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</si>
  <si>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</si>
  <si>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</si>
  <si>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</si>
  <si>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</si>
  <si>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</si>
  <si>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</si>
  <si>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</si>
  <si>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</si>
  <si>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</si>
  <si>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</si>
  <si>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</si>
  <si>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</si>
  <si>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</si>
  <si>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</si>
  <si>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special</t>
  </si>
  <si>
    <t>reverted</t>
  </si>
  <si>
    <t>123</t>
  </si>
  <si>
    <t>223</t>
  </si>
  <si>
    <t>16</t>
  </si>
  <si>
    <t>174</t>
  </si>
  <si>
    <t>171</t>
  </si>
  <si>
    <t>233</t>
  </si>
  <si>
    <t>contribs</t>
  </si>
  <si>
    <t>revision</t>
  </si>
  <si>
    <t>media</t>
  </si>
  <si>
    <t>anomiebot</t>
  </si>
  <si>
    <t>people</t>
  </si>
  <si>
    <t>social</t>
  </si>
  <si>
    <t>63</t>
  </si>
  <si>
    <t>84</t>
  </si>
  <si>
    <t>restored</t>
  </si>
  <si>
    <t>10</t>
  </si>
  <si>
    <t>student20232</t>
  </si>
  <si>
    <t>bruce1ee</t>
  </si>
  <si>
    <t>66</t>
  </si>
  <si>
    <t>86</t>
  </si>
  <si>
    <t>157</t>
  </si>
  <si>
    <t>153</t>
  </si>
  <si>
    <t>bot</t>
  </si>
  <si>
    <t>254</t>
  </si>
  <si>
    <t>116</t>
  </si>
  <si>
    <t>112</t>
  </si>
  <si>
    <t>180</t>
  </si>
  <si>
    <t>119</t>
  </si>
  <si>
    <t>182</t>
  </si>
  <si>
    <t>175</t>
  </si>
  <si>
    <t>173</t>
  </si>
  <si>
    <t>mahdialjumcale</t>
  </si>
  <si>
    <t>195</t>
  </si>
  <si>
    <t>196</t>
  </si>
  <si>
    <t>41</t>
  </si>
  <si>
    <t>138</t>
  </si>
  <si>
    <t>48</t>
  </si>
  <si>
    <t>18</t>
  </si>
  <si>
    <t>236</t>
  </si>
  <si>
    <t>hanzla019</t>
  </si>
  <si>
    <t>105</t>
  </si>
  <si>
    <t>106</t>
  </si>
  <si>
    <t>107</t>
  </si>
  <si>
    <t>77</t>
  </si>
  <si>
    <t>موقع</t>
  </si>
  <si>
    <t>june</t>
  </si>
  <si>
    <t>pescatarian</t>
  </si>
  <si>
    <t>up4cash</t>
  </si>
  <si>
    <t>templatesubster</t>
  </si>
  <si>
    <t>docs</t>
  </si>
  <si>
    <t>2023</t>
  </si>
  <si>
    <t>diet</t>
  </si>
  <si>
    <t>mrollie</t>
  </si>
  <si>
    <t>کا</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</si>
  <si>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</si>
  <si>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</si>
  <si>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</si>
  <si>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</si>
  <si>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</si>
  <si>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</si>
  <si>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</si>
  <si>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</si>
  <si>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</si>
  <si>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</si>
  <si>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</si>
  <si>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</si>
  <si>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</si>
  <si>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</si>
  <si>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</si>
  <si>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</si>
  <si>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</si>
  <si>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</si>
  <si>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</si>
  <si>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</si>
  <si>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</si>
  <si>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</si>
  <si>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</si>
  <si>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</si>
  <si>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</si>
  <si>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</si>
  <si>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</si>
  <si>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</si>
  <si>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</si>
  <si>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</si>
  <si>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</si>
  <si>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</si>
  <si>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</si>
  <si>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</si>
  <si>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</si>
  <si>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</si>
  <si>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</si>
  <si>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</si>
  <si>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</si>
  <si>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</si>
  <si>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</si>
  <si>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</si>
  <si>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</si>
  <si>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</si>
  <si>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</si>
  <si>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</si>
  <si>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</si>
  <si>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</si>
  <si>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</si>
  <si>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1.0.1.517</t>
  </si>
  <si>
    <t>MediaWiki</t>
  </si>
  <si>
    <t>Social_media</t>
  </si>
  <si>
    <t>The graph represents the User-User Discussions network of the "Social_media" seed article in en.wikipedia.org MediaWiki domain.  The network was obtained from MediaWiki on Tuesday, 01 August 2023 at 20:20 UTC.
The 50 most recent revisions are being analyzed.</t>
  </si>
  <si>
    <t>The graph's vertices were grouped by cluster using the Clauset-Newman-Moore cluster algorithm.</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</si>
  <si>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</si>
  <si>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</si>
  <si>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</si>
  <si>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</si>
  <si>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</si>
  <si>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</si>
  <si>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</si>
  <si>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</si>
  <si>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</si>
  <si>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</si>
  <si>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</si>
  <si>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</si>
  <si>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Top Words in Edit Comment in G3</t>
  </si>
  <si>
    <t>G2 Count</t>
  </si>
  <si>
    <t>Top Words in Edit Comment in G4</t>
  </si>
  <si>
    <t>G3 Count</t>
  </si>
  <si>
    <t>Top Words in Edit Comment in G5</t>
  </si>
  <si>
    <t>G4 Count</t>
  </si>
  <si>
    <t>G5 Count</t>
  </si>
  <si>
    <t>Top Words in Edit Comment</t>
  </si>
  <si>
    <t>special mahdialjumcale 66 223 hanzla019 student20232 18 123 reverted up4cash</t>
  </si>
  <si>
    <t>social media bot</t>
  </si>
  <si>
    <t>reverted special contribs 77 116 86 41 105 106 153</t>
  </si>
  <si>
    <t>223 123 anomiebot revision special 112 119 63 84 196</t>
  </si>
  <si>
    <t>16 174 233 171 people special reverted contribs</t>
  </si>
  <si>
    <t>Top Word Pairs in Edit Comment in Entire Graph</t>
  </si>
  <si>
    <t>reverted,special</t>
  </si>
  <si>
    <t>16,171</t>
  </si>
  <si>
    <t>223,123</t>
  </si>
  <si>
    <t>174,233</t>
  </si>
  <si>
    <t>233,16</t>
  </si>
  <si>
    <t>special,contribs</t>
  </si>
  <si>
    <t>171,174</t>
  </si>
  <si>
    <t>social,media</t>
  </si>
  <si>
    <t>10,107</t>
  </si>
  <si>
    <t>105,254</t>
  </si>
  <si>
    <t>Top Word Pairs in Edit Comment in G1</t>
  </si>
  <si>
    <t>123,18</t>
  </si>
  <si>
    <t>18,66</t>
  </si>
  <si>
    <t>hanzla019,hanzla019</t>
  </si>
  <si>
    <t>موقع,up4cash</t>
  </si>
  <si>
    <t>66,223</t>
  </si>
  <si>
    <t>pescatarian,diet</t>
  </si>
  <si>
    <t>student20232,student20232</t>
  </si>
  <si>
    <t>mahdialjumcale,mahdialjumcale</t>
  </si>
  <si>
    <t>Top Word Pairs in Edit Comment in G2</t>
  </si>
  <si>
    <t>media,bot</t>
  </si>
  <si>
    <t>Top Word Pairs in Edit Comment in G3</t>
  </si>
  <si>
    <t>77,180</t>
  </si>
  <si>
    <t>175,105</t>
  </si>
  <si>
    <t>195,175</t>
  </si>
  <si>
    <t>48,236</t>
  </si>
  <si>
    <t>41,116</t>
  </si>
  <si>
    <t>180,86</t>
  </si>
  <si>
    <t>182,48</t>
  </si>
  <si>
    <t>Top Word Pairs in Edit Comment in G4</t>
  </si>
  <si>
    <t>157,84</t>
  </si>
  <si>
    <t>84,196</t>
  </si>
  <si>
    <t>112,63</t>
  </si>
  <si>
    <t>123,112</t>
  </si>
  <si>
    <t>119,157</t>
  </si>
  <si>
    <t>123,10</t>
  </si>
  <si>
    <t>63,223</t>
  </si>
  <si>
    <t>anomiebot,docs</t>
  </si>
  <si>
    <t>Top Word Pairs in Edit Comment in G5</t>
  </si>
  <si>
    <t>contribs,174</t>
  </si>
  <si>
    <t>Top Word Pairs in Edit Comment</t>
  </si>
  <si>
    <t>reverted,special  123,18  18,66  223,123  hanzla019,hanzla019  موقع,up4cash  66,223  pescatarian,diet  student20232,student20232  mahdialjumcale,mahdialjumcale</t>
  </si>
  <si>
    <t>social,media  media,bot</t>
  </si>
  <si>
    <t>special,contribs  reverted,special  105,254  77,180  175,105  195,175  48,236  41,116  180,86  182,48</t>
  </si>
  <si>
    <t>223,123  157,84  10,107  84,196  112,63  123,112  119,157  123,10  63,223  anomiebot,docs</t>
  </si>
  <si>
    <t>174,233  233,16  16,171  171,174  reverted,special  contribs,174  special,contribs</t>
  </si>
  <si>
    <t>Top Words in Edit Comment by Count</t>
  </si>
  <si>
    <t>item deletion wikidata files</t>
  </si>
  <si>
    <t>special contribs reverted 105 106 153 86 138 41 195</t>
  </si>
  <si>
    <t>khan sumbul hasan touqeer</t>
  </si>
  <si>
    <t>16 174 233 171 special contribs reverted bruce1ee</t>
  </si>
  <si>
    <t>16 174 233 171 apparition11 special contribs reverted</t>
  </si>
  <si>
    <t>16 174 171 233 av special reverted antivandal</t>
  </si>
  <si>
    <t>shahlog</t>
  </si>
  <si>
    <t>social bot media</t>
  </si>
  <si>
    <t>gibberish rmv</t>
  </si>
  <si>
    <t>gooodgoogle</t>
  </si>
  <si>
    <t>orientation life</t>
  </si>
  <si>
    <t>health social mental impact media</t>
  </si>
  <si>
    <t>research_process_and_methodology_ thu sect process 201 _sect_201_ methodology _sp23_ spring_2023 new_york_university</t>
  </si>
  <si>
    <t/>
  </si>
  <si>
    <t>کرنے واقعہ مردوں زندہ حضرت اور کا ابراھیم کو</t>
  </si>
  <si>
    <t>isp nepal</t>
  </si>
  <si>
    <t>223 123 revision special 10 107 63 157 anomiebot 196</t>
  </si>
  <si>
    <t>june 2023</t>
  </si>
  <si>
    <t>fire</t>
  </si>
  <si>
    <t>گم ہے ایڈی میرا پاس کا ورڈ ہو</t>
  </si>
  <si>
    <t>anomiebot templatesubster docs substing esp info templates</t>
  </si>
  <si>
    <t>media social</t>
  </si>
  <si>
    <t>tiktok</t>
  </si>
  <si>
    <t>ali</t>
  </si>
  <si>
    <t>موقع up4cash</t>
  </si>
  <si>
    <t>mahdialjumcale 66 223 18 123 special reverted mrollie revision topic</t>
  </si>
  <si>
    <t>student20232 notaforum special 1167044086 revision restored</t>
  </si>
  <si>
    <t>923467237682</t>
  </si>
  <si>
    <t>diet pescatarian</t>
  </si>
  <si>
    <t>hanzla019 spam special reverted</t>
  </si>
  <si>
    <t>Top Words in Edit Comment by Salience</t>
  </si>
  <si>
    <t>105 106 153 86 138 41 195 116 48 254</t>
  </si>
  <si>
    <t>223 123 10 107 63 157 anomiebot 196 84 112</t>
  </si>
  <si>
    <t>mahdialjumcale 66 223 18 123 mrollie revision topic special reverted</t>
  </si>
  <si>
    <t>Top Word Pairs in Edit Comment by Count</t>
  </si>
  <si>
    <t>wikidata,item  item,deletion  files,wikidata</t>
  </si>
  <si>
    <t>reverted,special  special,contribs  48,236  106,77  175,105  116,138  77,180  195,175  105,254  182,48</t>
  </si>
  <si>
    <t>sumbul,touqeer  hasan,khan  touqeer,hasan</t>
  </si>
  <si>
    <t>174,233  233,16  16,171  171,174  171,bruce1ee  reverted,special  contribs,174  special,contribs</t>
  </si>
  <si>
    <t>174,233  233,16  16,171  171,174  reverted,special  contribs,174  special,contribs  171,apparition11</t>
  </si>
  <si>
    <t>174,233  233,16  16,171  171,174  171,antivandal  reverted,special  special,174  antivandal,av</t>
  </si>
  <si>
    <t>rmv,gibberish</t>
  </si>
  <si>
    <t>life,orientation</t>
  </si>
  <si>
    <t>mental,health  impact,social  social,media  media,mental</t>
  </si>
  <si>
    <t>new_york_university,research_process_and_methodology_  methodology,sp23  _sp23_,_sect_201_  spring_2023,research  research,process  201,thu  sp23,sect  _thu_,spring_2023  _sect_201_,_thu_  sect,201</t>
  </si>
  <si>
    <t>حضرت,ابراھیم  مردوں,کو  کو,زندہ  اور,مردوں  کا,واقعہ  کرنے,کا  ابراھیم,اور  زندہ,کرنے</t>
  </si>
  <si>
    <t>isp,nepal</t>
  </si>
  <si>
    <t>223,123  157,84  10,107  84,196  112,63  123,112  119,157  123,10  63,223  196,119</t>
  </si>
  <si>
    <t>june,2023</t>
  </si>
  <si>
    <t>پاس,ورڈ  ہو,ہے  کا,پاس  ورڈ,گم  میرا,ایڈی  گم,ہو  ایڈی,کا</t>
  </si>
  <si>
    <t>docs,templatesubster  anomiebot,docs  esp,anomiebot  templatesubster,info  templates,esp  substing,templates  templatesubster,substing</t>
  </si>
  <si>
    <t>media,media  social,media</t>
  </si>
  <si>
    <t>223,123  123,18  18,66  mahdialjumcale,mahdialjumcale  66,223  reverted,special  special,mahdialjumcale  special,223  mahdialjumcale,revision  66,topic</t>
  </si>
  <si>
    <t>student20232,student20232  student20232,notaforum  1167044086,special  restored,revision  special,student20232  revision,1167044086</t>
  </si>
  <si>
    <t>hanzla019,hanzla019  special,hanzla019  hanzla019,spam  reverted,special</t>
  </si>
  <si>
    <t>Top Word Pairs in Edit Comment by Salience</t>
  </si>
  <si>
    <t>48,236  106,77  175,105  116,138  77,180  195,175  105,254  182,48  138,173  41,116</t>
  </si>
  <si>
    <t>223,123  123,18  18,66  mahdialjumcale,mahdialjumcale  66,223  special,mahdialjumcale  special,223  mahdialjumcale,revision  66,topic  revision,mrollie</t>
  </si>
  <si>
    <t>192, 192, 192</t>
  </si>
  <si>
    <t>255, 128, 0</t>
  </si>
  <si>
    <t>G1: special mahdialjumcale 66 223 hanzla019 student20232 18 123 reverted up4cash</t>
  </si>
  <si>
    <t>G2: social media bot</t>
  </si>
  <si>
    <t>G3: reverted special contribs 77 116 86 41 105 106 153</t>
  </si>
  <si>
    <t>G4: 223 123 anomiebot revision special 112 119 63 84 196</t>
  </si>
  <si>
    <t>G5: 16 174 233 171 people special reverted contribs</t>
  </si>
  <si>
    <t>Edge Weight▓1▓1▓0▓True▓Silver▓255, 128, 0▓▓Edge Weight▓1▓1▓0▓3▓10▓False▓Edge Weight▓1▓1▓0▓70▓40▓False▓▓0▓0▓0▓True▓Black▓Black▓▓Betweenness Centrality▓0▓187▓3▓50▓200▓False▓▓0▓0▓0▓0▓0▓False▓▓0▓0▓0▓0▓0▓False▓▓0▓0▓0▓0▓0▓False</t>
  </si>
  <si>
    <t>GraphSource░MediaWiki▓GraphTerm░Social_media▓ImportDescription░The graph represents the User-User Discussions network of the "Social_media" seed article in en.wikipedia.org MediaWiki domain.  The network was obtained from MediaWiki on Tuesday, 01 August 2023 at 20:20 UTC.
The 50 most recent revisions are being analyzed.▓ImportSuggestedTitle░MediaWiki Map for "Social_media" article▓ImportSuggestedFileNameNoExtension░2023-08-01 20-20-17 NodeXL MediaWiki Social_media▓GroupingDescription░The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</si>
  <si>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</si>
  <si>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https://nodexlgraphgallery.org/Pages/Graph.aspx?graphID=292195</t>
  </si>
  <si>
    <t>https://nodexlgraphgallery.org/Images/Image.ashx?graphID=292195&amp;type=f</t>
  </si>
  <si>
    <t>pha" serializeAs="String"&gt;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&lt;value&gt;0.4&lt;/value&gt;
      &lt;/setting&gt;
    &lt;/GraphZoomAndScaleUserSettings&gt;
    &lt;PlugInUserSettings&gt;
      &lt;setting name="PlugInFolderPath" serializeAs="String"&gt;
        &lt;value /&gt;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</si>
</sst>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3" borderId="1" xfId="23" applyNumberFormat="1" applyFont="1" applyAlignment="1">
      <alignment/>
    </xf>
    <xf numFmtId="0" fontId="0" fillId="3" borderId="11" xfId="23" applyNumberFormat="1" applyFont="1" applyBorder="1" applyAlignment="1">
      <alignment/>
    </xf>
    <xf numFmtId="0" fontId="10" fillId="0" borderId="0" xfId="28"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1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numFmt numFmtId="179" formatCode="General"/>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1"/>
      <tableStyleElement type="headerRow" dxfId="210"/>
    </tableStyle>
    <tableStyle name="NodeXL Table" pivot="0" count="1">
      <tableStyleElement type="headerRow" dxfId="2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3761"/>
        <c:axId val="663850"/>
      </c:barChart>
      <c:catAx>
        <c:axId val="737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3850"/>
        <c:crosses val="autoZero"/>
        <c:auto val="1"/>
        <c:lblOffset val="100"/>
        <c:noMultiLvlLbl val="0"/>
      </c:catAx>
      <c:valAx>
        <c:axId val="663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74651"/>
        <c:axId val="53771860"/>
      </c:barChart>
      <c:catAx>
        <c:axId val="59746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771860"/>
        <c:crosses val="autoZero"/>
        <c:auto val="1"/>
        <c:lblOffset val="100"/>
        <c:noMultiLvlLbl val="0"/>
      </c:catAx>
      <c:valAx>
        <c:axId val="53771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4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84693"/>
        <c:axId val="60553374"/>
      </c:barChart>
      <c:catAx>
        <c:axId val="141846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53374"/>
        <c:crosses val="autoZero"/>
        <c:auto val="1"/>
        <c:lblOffset val="100"/>
        <c:noMultiLvlLbl val="0"/>
      </c:catAx>
      <c:valAx>
        <c:axId val="60553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84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109455"/>
        <c:axId val="5876232"/>
      </c:barChart>
      <c:catAx>
        <c:axId val="81094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6232"/>
        <c:crosses val="autoZero"/>
        <c:auto val="1"/>
        <c:lblOffset val="100"/>
        <c:noMultiLvlLbl val="0"/>
      </c:catAx>
      <c:valAx>
        <c:axId val="5876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09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886089"/>
        <c:axId val="6212754"/>
      </c:barChart>
      <c:catAx>
        <c:axId val="528860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12754"/>
        <c:crosses val="autoZero"/>
        <c:auto val="1"/>
        <c:lblOffset val="100"/>
        <c:noMultiLvlLbl val="0"/>
      </c:catAx>
      <c:valAx>
        <c:axId val="6212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86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914787"/>
        <c:axId val="33471036"/>
      </c:barChart>
      <c:catAx>
        <c:axId val="559147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471036"/>
        <c:crosses val="autoZero"/>
        <c:auto val="1"/>
        <c:lblOffset val="100"/>
        <c:noMultiLvlLbl val="0"/>
      </c:catAx>
      <c:valAx>
        <c:axId val="33471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14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03869"/>
        <c:axId val="26799366"/>
      </c:barChart>
      <c:catAx>
        <c:axId val="328038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799366"/>
        <c:crosses val="autoZero"/>
        <c:auto val="1"/>
        <c:lblOffset val="100"/>
        <c:noMultiLvlLbl val="0"/>
      </c:catAx>
      <c:valAx>
        <c:axId val="26799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03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867703"/>
        <c:axId val="23265008"/>
      </c:barChart>
      <c:catAx>
        <c:axId val="398677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265008"/>
        <c:crosses val="autoZero"/>
        <c:auto val="1"/>
        <c:lblOffset val="100"/>
        <c:noMultiLvlLbl val="0"/>
      </c:catAx>
      <c:valAx>
        <c:axId val="23265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67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058481"/>
        <c:axId val="5417466"/>
      </c:barChart>
      <c:catAx>
        <c:axId val="8058481"/>
        <c:scaling>
          <c:orientation val="minMax"/>
        </c:scaling>
        <c:axPos val="b"/>
        <c:delete val="1"/>
        <c:majorTickMark val="out"/>
        <c:minorTickMark val="none"/>
        <c:tickLblPos val="none"/>
        <c:crossAx val="5417466"/>
        <c:crosses val="autoZero"/>
        <c:auto val="1"/>
        <c:lblOffset val="100"/>
        <c:noMultiLvlLbl val="0"/>
      </c:catAx>
      <c:valAx>
        <c:axId val="5417466"/>
        <c:scaling>
          <c:orientation val="minMax"/>
        </c:scaling>
        <c:axPos val="l"/>
        <c:delete val="1"/>
        <c:majorTickMark val="out"/>
        <c:minorTickMark val="none"/>
        <c:tickLblPos val="none"/>
        <c:crossAx val="80584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00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966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32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497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765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31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564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296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50" totalsRowShown="0" headerRowDxfId="208" dataDxfId="207">
  <autoFilter ref="A2:AD50"/>
  <tableColumns count="30">
    <tableColumn id="1" name="Vertex 1" dataDxfId="157"/>
    <tableColumn id="2" name="Vertex 2" dataDxfId="155"/>
    <tableColumn id="3" name="Color" dataDxfId="156"/>
    <tableColumn id="4" name="Width" dataDxfId="206"/>
    <tableColumn id="11" name="Style" dataDxfId="205"/>
    <tableColumn id="5" name="Opacity" dataDxfId="204"/>
    <tableColumn id="6" name="Visibility" dataDxfId="203"/>
    <tableColumn id="10" name="Label" dataDxfId="202"/>
    <tableColumn id="12" name="Label Text Color" dataDxfId="201"/>
    <tableColumn id="13" name="Label Font Size" dataDxfId="200"/>
    <tableColumn id="14" name="Reciprocated?" dataDxfId="111"/>
    <tableColumn id="7" name="ID" dataDxfId="199"/>
    <tableColumn id="9" name="Dynamic Filter" dataDxfId="198"/>
    <tableColumn id="8" name="Add Your Own Columns Here" dataDxfId="154"/>
    <tableColumn id="15" name="Relationship" dataDxfId="153"/>
    <tableColumn id="16" name="Edge Weight" dataDxfId="152"/>
    <tableColumn id="17" name="Edge Type" dataDxfId="151"/>
    <tableColumn id="18" name="Edit Comment" dataDxfId="150"/>
    <tableColumn id="19" name="Edit Size" dataDxfId="127"/>
    <tableColumn id="20" name="Vertex 1 Group" dataDxfId="126">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7" totalsRowShown="0" headerRowDxfId="110" dataDxfId="109">
  <autoFilter ref="A1:G127"/>
  <tableColumns count="7">
    <tableColumn id="1" name="Word" dataDxfId="108"/>
    <tableColumn id="2" name="Count" dataDxfId="107"/>
    <tableColumn id="3" name="Salience" dataDxfId="106"/>
    <tableColumn id="4" name="Group" dataDxfId="105"/>
    <tableColumn id="5" name="Word on Sentiment List #1: List1" dataDxfId="104"/>
    <tableColumn id="6" name="Word on Sentiment List #2: List2" dataDxfId="103"/>
    <tableColumn id="7" name="Word on Sentiment List #3: List3" dataDxfId="10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6" totalsRowShown="0" headerRowDxfId="101" dataDxfId="100">
  <autoFilter ref="A1:L106"/>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5" totalsRowShown="0" headerRowDxfId="59" dataDxfId="58">
  <autoFilter ref="A2:C15"/>
  <tableColumns count="3">
    <tableColumn id="1" name="Group 1" dataDxfId="57"/>
    <tableColumn id="2" name="Group 2" dataDxfId="56"/>
    <tableColumn id="3" name="Edges" dataDxfId="5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52" dataDxfId="51">
  <autoFilter ref="A1:B7"/>
  <tableColumns count="2">
    <tableColumn id="1" name="Key" dataDxfId="37"/>
    <tableColumn id="2" name="Value" dataDxfId="3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L11" totalsRowShown="0" headerRowDxfId="35" dataDxfId="34">
  <autoFilter ref="A1:L11"/>
  <tableColumns count="12">
    <tableColumn id="1" name="Top Words in Edit Comment in Entire Graph" dataDxfId="33"/>
    <tableColumn id="2" name="Entire Graph Count" dataDxfId="32"/>
    <tableColumn id="3" name="Top Words in Edit Comment in G1" dataDxfId="31"/>
    <tableColumn id="4" name="G1 Count" dataDxfId="30"/>
    <tableColumn id="5" name="Top Words in Edit Comment in G2" dataDxfId="29"/>
    <tableColumn id="6" name="G2 Count" dataDxfId="28"/>
    <tableColumn id="7" name="Top Words in Edit Comment in G3" dataDxfId="27"/>
    <tableColumn id="8" name="G3 Count" dataDxfId="26"/>
    <tableColumn id="9" name="Top Words in Edit Comment in G4" dataDxfId="25"/>
    <tableColumn id="10" name="G4 Count" dataDxfId="24"/>
    <tableColumn id="11" name="Top Words in Edit Comment in G5" dataDxfId="23"/>
    <tableColumn id="12" name="G5 Count" dataDxfId="2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L24" totalsRowShown="0" headerRowDxfId="20" dataDxfId="19">
  <autoFilter ref="A14:L24"/>
  <tableColumns count="12">
    <tableColumn id="1" name="Top Word Pairs in Edit Comment in Entire Graph" dataDxfId="18"/>
    <tableColumn id="2" name="Entire Graph Count" dataDxfId="17"/>
    <tableColumn id="3" name="Top Word Pairs in Edit Comment in G1" dataDxfId="16"/>
    <tableColumn id="4" name="G1 Count" dataDxfId="15"/>
    <tableColumn id="5" name="Top Word Pairs in Edit Comment in G2" dataDxfId="14"/>
    <tableColumn id="6" name="G2 Count" dataDxfId="13"/>
    <tableColumn id="7" name="Top Word Pairs in Edit Comment in G3" dataDxfId="12"/>
    <tableColumn id="8" name="G3 Count" dataDxfId="11"/>
    <tableColumn id="9" name="Top Word Pairs in Edit Comment in G4" dataDxfId="10"/>
    <tableColumn id="10" name="G4 Count" dataDxfId="9"/>
    <tableColumn id="11" name="Top Word Pairs in Edit Comm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36" totalsRowShown="0" headerRowDxfId="197" dataDxfId="196">
  <autoFilter ref="A2:AY36"/>
  <tableColumns count="51">
    <tableColumn id="1" name="Vertex" dataDxfId="195"/>
    <tableColumn id="2" name="Color" dataDxfId="194"/>
    <tableColumn id="5" name="Shape" dataDxfId="193"/>
    <tableColumn id="6" name="Size" dataDxfId="192"/>
    <tableColumn id="4" name="Opacity" dataDxfId="149"/>
    <tableColumn id="7" name="Image File" dataDxfId="147"/>
    <tableColumn id="3" name="Visibility" dataDxfId="148"/>
    <tableColumn id="10" name="Label" dataDxfId="191"/>
    <tableColumn id="16" name="Label Fill Color" dataDxfId="190"/>
    <tableColumn id="9" name="Label Position" dataDxfId="144"/>
    <tableColumn id="8" name="Tooltip" dataDxfId="142"/>
    <tableColumn id="18" name="Layout Order" dataDxfId="143"/>
    <tableColumn id="13" name="X" dataDxfId="189"/>
    <tableColumn id="14" name="Y" dataDxfId="188"/>
    <tableColumn id="12" name="Locked?" dataDxfId="187"/>
    <tableColumn id="19" name="Polar R" dataDxfId="186"/>
    <tableColumn id="20" name="Polar Angle" dataDxfId="185"/>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184"/>
    <tableColumn id="28" name="Dynamic Filter" dataDxfId="183"/>
    <tableColumn id="17" name="Add Your Own Columns Here" dataDxfId="146"/>
    <tableColumn id="30" name="Custom Menu Item Text" dataDxfId="145"/>
    <tableColumn id="31" name="Custom Menu Item Action" dataDxfId="141"/>
    <tableColumn id="32" name="Vertex Type" dataDxfId="138"/>
    <tableColumn id="33" name="Content" dataDxfId="136"/>
    <tableColumn id="34" name="Age" dataDxfId="137"/>
    <tableColumn id="35" name="Gini Coefficient" dataDxfId="140"/>
    <tableColumn id="36" name="Nr Revisions" dataDxfId="139"/>
    <tableColumn id="37" name="URL" dataDxfId="128"/>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182">
  <autoFilter ref="A2:AI7"/>
  <tableColumns count="35">
    <tableColumn id="1" name="Group" dataDxfId="135"/>
    <tableColumn id="2" name="Vertex Color" dataDxfId="134"/>
    <tableColumn id="3" name="Vertex Shape" dataDxfId="132"/>
    <tableColumn id="22" name="Visibility" dataDxfId="133"/>
    <tableColumn id="4" name="Collapsed?"/>
    <tableColumn id="18" name="Label" dataDxfId="181"/>
    <tableColumn id="20" name="Collapsed X"/>
    <tableColumn id="21" name="Collapsed Y"/>
    <tableColumn id="6" name="ID" dataDxfId="180"/>
    <tableColumn id="19" name="Collapsed Properties" dataDxfId="125"/>
    <tableColumn id="5" name="Vertices" dataDxfId="124"/>
    <tableColumn id="7" name="Unique Edges" dataDxfId="123"/>
    <tableColumn id="8" name="Edges With Duplicates" dataDxfId="122"/>
    <tableColumn id="9" name="Total Edges" dataDxfId="121"/>
    <tableColumn id="10" name="Self-Loops" dataDxfId="120"/>
    <tableColumn id="24" name="Reciprocated Vertex Pair Ratio" dataDxfId="119"/>
    <tableColumn id="25" name="Reciprocated Edge Ratio" dataDxfId="118"/>
    <tableColumn id="11" name="Connected Components" dataDxfId="117"/>
    <tableColumn id="12" name="Single-Vertex Connected Components" dataDxfId="116"/>
    <tableColumn id="13" name="Maximum Vertices in a Connected Component" dataDxfId="115"/>
    <tableColumn id="14" name="Maximum Edges in a Connected Component" dataDxfId="114"/>
    <tableColumn id="15" name="Maximum Geodesic Distance (Diameter)" dataDxfId="113"/>
    <tableColumn id="16" name="Average Geodesic Distance" dataDxfId="112"/>
    <tableColumn id="17" name="Graph Density" dataDxfId="68"/>
    <tableColumn id="23" name="Sentiment List #1: List1 Word Count" dataDxfId="67"/>
    <tableColumn id="26" name="Sentiment List #1: List1 Word Percentage (%)" dataDxfId="66"/>
    <tableColumn id="27" name="Sentiment List #2: List2 Word Count" dataDxfId="65"/>
    <tableColumn id="28" name="Sentiment List #2: List2 Word Percentage (%)" dataDxfId="64"/>
    <tableColumn id="29" name="Sentiment List #3: List3 Word Count" dataDxfId="63"/>
    <tableColumn id="30" name="Sentiment List #3: List3 Word Percentage (%)" dataDxfId="62"/>
    <tableColumn id="31" name="Non-categorized Word Count" dataDxfId="61"/>
    <tableColumn id="32" name="Non-categorized Word Percentage (%)" dataDxfId="60"/>
    <tableColumn id="33" name="Group Content Word Count" dataDxfId="21"/>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179" dataDxfId="178">
  <autoFilter ref="A1:C35"/>
  <tableColumns count="3">
    <tableColumn id="1" name="Group" dataDxfId="131"/>
    <tableColumn id="2" name="Vertex" dataDxfId="130"/>
    <tableColumn id="3" name="Vertex ID" dataDxfId="1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4"/>
    <tableColumn id="2" name="Value" dataDxfId="5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77"/>
    <tableColumn id="2" name="Degree Frequency" dataDxfId="176">
      <calculatedColumnFormula>COUNTIF(Vertices[Degree], "&gt;= " &amp; D2) - COUNTIF(Vertices[Degree], "&gt;=" &amp; D3)</calculatedColumnFormula>
    </tableColumn>
    <tableColumn id="3" name="In-Degree Bin" dataDxfId="175"/>
    <tableColumn id="4" name="In-Degree Frequency" dataDxfId="174">
      <calculatedColumnFormula>COUNTIF(Vertices[In-Degree], "&gt;= " &amp; F2) - COUNTIF(Vertices[In-Degree], "&gt;=" &amp; F3)</calculatedColumnFormula>
    </tableColumn>
    <tableColumn id="5" name="Out-Degree Bin" dataDxfId="173"/>
    <tableColumn id="6" name="Out-Degree Frequency" dataDxfId="172">
      <calculatedColumnFormula>COUNTIF(Vertices[Out-Degree], "&gt;= " &amp; H2) - COUNTIF(Vertices[Out-Degree], "&gt;=" &amp; H3)</calculatedColumnFormula>
    </tableColumn>
    <tableColumn id="7" name="Betweenness Centrality Bin" dataDxfId="171"/>
    <tableColumn id="8" name="Betweenness Centrality Frequency" dataDxfId="170">
      <calculatedColumnFormula>COUNTIF(Vertices[Betweenness Centrality], "&gt;= " &amp; J2) - COUNTIF(Vertices[Betweenness Centrality], "&gt;=" &amp; J3)</calculatedColumnFormula>
    </tableColumn>
    <tableColumn id="9" name="Closeness Centrality Bin" dataDxfId="169"/>
    <tableColumn id="10" name="Closeness Centrality Frequency" dataDxfId="168">
      <calculatedColumnFormula>COUNTIF(Vertices[Closeness Centrality], "&gt;= " &amp; L2) - COUNTIF(Vertices[Closeness Centrality], "&gt;=" &amp; L3)</calculatedColumnFormula>
    </tableColumn>
    <tableColumn id="11" name="Eigenvector Centrality Bin" dataDxfId="167"/>
    <tableColumn id="12" name="Eigenvector Centrality Frequency" dataDxfId="166">
      <calculatedColumnFormula>COUNTIF(Vertices[Eigenvector Centrality], "&gt;= " &amp; N2) - COUNTIF(Vertices[Eigenvector Centrality], "&gt;=" &amp; N3)</calculatedColumnFormula>
    </tableColumn>
    <tableColumn id="18" name="PageRank Bin" dataDxfId="165"/>
    <tableColumn id="17" name="PageRank Frequency" dataDxfId="164">
      <calculatedColumnFormula>COUNTIF(Vertices[Eigenvector Centrality], "&gt;= " &amp; P2) - COUNTIF(Vertices[Eigenvector Centrality], "&gt;=" &amp; P3)</calculatedColumnFormula>
    </tableColumn>
    <tableColumn id="13" name="Clustering Coefficient Bin" dataDxfId="163"/>
    <tableColumn id="14" name="Clustering Coefficient Frequency" dataDxfId="162">
      <calculatedColumnFormula>COUNTIF(Vertices[Clustering Coefficient], "&gt;= " &amp; R2) - COUNTIF(Vertices[Clustering Coefficient], "&gt;=" &amp; R3)</calculatedColumnFormula>
    </tableColumn>
    <tableColumn id="15" name="Dynamic Filter Bin" dataDxfId="161"/>
    <tableColumn id="16" name="Dynamic Filter Frequency" dataDxfId="1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5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5" t="s">
        <v>39</v>
      </c>
      <c r="D1" s="16"/>
      <c r="E1" s="16"/>
      <c r="F1" s="16"/>
      <c r="G1" s="15"/>
      <c r="H1" s="13" t="s">
        <v>43</v>
      </c>
      <c r="I1" s="61"/>
      <c r="J1" s="61"/>
      <c r="K1" s="31" t="s">
        <v>42</v>
      </c>
      <c r="L1" s="17" t="s">
        <v>40</v>
      </c>
      <c r="M1" s="17"/>
      <c r="N1" s="14"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321</v>
      </c>
      <c r="U2" s="7" t="s">
        <v>322</v>
      </c>
      <c r="V2" s="64" t="s">
        <v>406</v>
      </c>
      <c r="W2" s="64" t="s">
        <v>407</v>
      </c>
      <c r="X2" s="64" t="s">
        <v>408</v>
      </c>
      <c r="Y2" s="64" t="s">
        <v>409</v>
      </c>
      <c r="Z2" s="64" t="s">
        <v>410</v>
      </c>
      <c r="AA2" s="64" t="s">
        <v>411</v>
      </c>
      <c r="AB2" s="64" t="s">
        <v>412</v>
      </c>
      <c r="AC2" s="64" t="s">
        <v>413</v>
      </c>
      <c r="AD2" s="64" t="s">
        <v>414</v>
      </c>
    </row>
    <row r="3" spans="1:30" ht="15" customHeight="1">
      <c r="A3" s="79" t="s">
        <v>251</v>
      </c>
      <c r="B3" s="79" t="s">
        <v>219</v>
      </c>
      <c r="C3" s="49" t="s">
        <v>573</v>
      </c>
      <c r="D3" s="50">
        <v>3</v>
      </c>
      <c r="E3" s="62"/>
      <c r="F3" s="51">
        <v>70</v>
      </c>
      <c r="G3" s="49"/>
      <c r="H3" s="53"/>
      <c r="I3" s="52"/>
      <c r="J3" s="52"/>
      <c r="K3" s="32" t="s">
        <v>65</v>
      </c>
      <c r="L3" s="58">
        <v>3</v>
      </c>
      <c r="M3" s="58"/>
      <c r="N3" s="59"/>
      <c r="O3" s="80" t="s">
        <v>252</v>
      </c>
      <c r="P3" s="80">
        <v>1</v>
      </c>
      <c r="Q3" s="80" t="s">
        <v>253</v>
      </c>
      <c r="R3" s="80" t="s">
        <v>295</v>
      </c>
      <c r="S3" s="80">
        <v>8039</v>
      </c>
      <c r="T3" s="80" t="str">
        <f>REPLACE(INDEX(GroupVertices[Group],MATCH(Edges[[#This Row],[Vertex 1]],GroupVertices[Vertex],0)),1,1,"")</f>
        <v>3</v>
      </c>
      <c r="U3" s="80" t="str">
        <f>REPLACE(INDEX(GroupVertices[Group],MATCH(Edges[[#This Row],[Vertex 2]],GroupVertices[Vertex],0)),1,1,"")</f>
        <v>3</v>
      </c>
      <c r="V3" s="47">
        <v>0</v>
      </c>
      <c r="W3" s="48">
        <v>0</v>
      </c>
      <c r="X3" s="47">
        <v>0</v>
      </c>
      <c r="Y3" s="48">
        <v>0</v>
      </c>
      <c r="Z3" s="47">
        <v>0</v>
      </c>
      <c r="AA3" s="48">
        <v>0</v>
      </c>
      <c r="AB3" s="47">
        <v>4</v>
      </c>
      <c r="AC3" s="48">
        <v>30.76923076923077</v>
      </c>
      <c r="AD3" s="47">
        <v>13</v>
      </c>
    </row>
    <row r="4" spans="1:30" ht="15" customHeight="1">
      <c r="A4" s="79" t="s">
        <v>218</v>
      </c>
      <c r="B4" s="79" t="s">
        <v>251</v>
      </c>
      <c r="C4" s="49" t="s">
        <v>573</v>
      </c>
      <c r="D4" s="50">
        <v>3</v>
      </c>
      <c r="E4" s="62"/>
      <c r="F4" s="51">
        <v>70</v>
      </c>
      <c r="G4" s="49"/>
      <c r="H4" s="53"/>
      <c r="I4" s="52"/>
      <c r="J4" s="52"/>
      <c r="K4" s="32" t="s">
        <v>65</v>
      </c>
      <c r="L4" s="78">
        <v>4</v>
      </c>
      <c r="M4" s="78"/>
      <c r="N4" s="59"/>
      <c r="O4" s="81" t="s">
        <v>252</v>
      </c>
      <c r="P4" s="81">
        <v>1</v>
      </c>
      <c r="Q4" s="81" t="s">
        <v>253</v>
      </c>
      <c r="R4" s="81" t="s">
        <v>254</v>
      </c>
      <c r="S4" s="81">
        <v>8220</v>
      </c>
      <c r="T4" s="80" t="str">
        <f>REPLACE(INDEX(GroupVertices[Group],MATCH(Edges[[#This Row],[Vertex 1]],GroupVertices[Vertex],0)),1,1,"")</f>
        <v>3</v>
      </c>
      <c r="U4" s="80" t="str">
        <f>REPLACE(INDEX(GroupVertices[Group],MATCH(Edges[[#This Row],[Vertex 2]],GroupVertices[Vertex],0)),1,1,"")</f>
        <v>3</v>
      </c>
      <c r="V4" s="47">
        <v>0</v>
      </c>
      <c r="W4" s="48">
        <v>0</v>
      </c>
      <c r="X4" s="47">
        <v>0</v>
      </c>
      <c r="Y4" s="48">
        <v>0</v>
      </c>
      <c r="Z4" s="47">
        <v>0</v>
      </c>
      <c r="AA4" s="48">
        <v>0</v>
      </c>
      <c r="AB4" s="47">
        <v>4</v>
      </c>
      <c r="AC4" s="48">
        <v>66.66666666666667</v>
      </c>
      <c r="AD4" s="47">
        <v>6</v>
      </c>
    </row>
    <row r="5" spans="1:30" ht="45">
      <c r="A5" s="79" t="s">
        <v>219</v>
      </c>
      <c r="B5" s="79" t="s">
        <v>218</v>
      </c>
      <c r="C5" s="49" t="s">
        <v>573</v>
      </c>
      <c r="D5" s="50">
        <v>3</v>
      </c>
      <c r="E5" s="62"/>
      <c r="F5" s="51">
        <v>70</v>
      </c>
      <c r="G5" s="49"/>
      <c r="H5" s="53"/>
      <c r="I5" s="52"/>
      <c r="J5" s="52"/>
      <c r="K5" s="32" t="s">
        <v>65</v>
      </c>
      <c r="L5" s="78">
        <v>5</v>
      </c>
      <c r="M5" s="78"/>
      <c r="N5" s="59"/>
      <c r="O5" s="81" t="s">
        <v>252</v>
      </c>
      <c r="P5" s="81">
        <v>1</v>
      </c>
      <c r="Q5" s="81" t="s">
        <v>253</v>
      </c>
      <c r="R5" s="81" t="s">
        <v>255</v>
      </c>
      <c r="S5" s="81">
        <v>8039</v>
      </c>
      <c r="T5" s="80" t="str">
        <f>REPLACE(INDEX(GroupVertices[Group],MATCH(Edges[[#This Row],[Vertex 1]],GroupVertices[Vertex],0)),1,1,"")</f>
        <v>3</v>
      </c>
      <c r="U5" s="80" t="str">
        <f>REPLACE(INDEX(GroupVertices[Group],MATCH(Edges[[#This Row],[Vertex 2]],GroupVertices[Vertex],0)),1,1,"")</f>
        <v>3</v>
      </c>
      <c r="V5" s="47">
        <v>0</v>
      </c>
      <c r="W5" s="48">
        <v>0</v>
      </c>
      <c r="X5" s="47">
        <v>0</v>
      </c>
      <c r="Y5" s="48">
        <v>0</v>
      </c>
      <c r="Z5" s="47">
        <v>0</v>
      </c>
      <c r="AA5" s="48">
        <v>0</v>
      </c>
      <c r="AB5" s="47">
        <v>18</v>
      </c>
      <c r="AC5" s="48">
        <v>66.66666666666667</v>
      </c>
      <c r="AD5" s="47">
        <v>27</v>
      </c>
    </row>
    <row r="6" spans="1:30" ht="45">
      <c r="A6" s="79" t="s">
        <v>220</v>
      </c>
      <c r="B6" s="79" t="s">
        <v>221</v>
      </c>
      <c r="C6" s="49" t="s">
        <v>573</v>
      </c>
      <c r="D6" s="50">
        <v>3</v>
      </c>
      <c r="E6" s="62"/>
      <c r="F6" s="51">
        <v>70</v>
      </c>
      <c r="G6" s="49"/>
      <c r="H6" s="53"/>
      <c r="I6" s="52"/>
      <c r="J6" s="52"/>
      <c r="K6" s="32" t="s">
        <v>66</v>
      </c>
      <c r="L6" s="78">
        <v>6</v>
      </c>
      <c r="M6" s="78"/>
      <c r="N6" s="59"/>
      <c r="O6" s="81" t="s">
        <v>252</v>
      </c>
      <c r="P6" s="81">
        <v>1</v>
      </c>
      <c r="Q6" s="81" t="s">
        <v>253</v>
      </c>
      <c r="R6" s="81" t="s">
        <v>256</v>
      </c>
      <c r="S6" s="81">
        <v>8039</v>
      </c>
      <c r="T6" s="80" t="str">
        <f>REPLACE(INDEX(GroupVertices[Group],MATCH(Edges[[#This Row],[Vertex 1]],GroupVertices[Vertex],0)),1,1,"")</f>
        <v>5</v>
      </c>
      <c r="U6" s="80" t="str">
        <f>REPLACE(INDEX(GroupVertices[Group],MATCH(Edges[[#This Row],[Vertex 2]],GroupVertices[Vertex],0)),1,1,"")</f>
        <v>5</v>
      </c>
      <c r="V6" s="47">
        <v>0</v>
      </c>
      <c r="W6" s="48">
        <v>0</v>
      </c>
      <c r="X6" s="47">
        <v>0</v>
      </c>
      <c r="Y6" s="48">
        <v>0</v>
      </c>
      <c r="Z6" s="47">
        <v>0</v>
      </c>
      <c r="AA6" s="48">
        <v>0</v>
      </c>
      <c r="AB6" s="47">
        <v>16</v>
      </c>
      <c r="AC6" s="48">
        <v>64</v>
      </c>
      <c r="AD6" s="47">
        <v>25</v>
      </c>
    </row>
    <row r="7" spans="1:30" ht="45">
      <c r="A7" s="79" t="s">
        <v>221</v>
      </c>
      <c r="B7" s="79" t="s">
        <v>220</v>
      </c>
      <c r="C7" s="49" t="s">
        <v>573</v>
      </c>
      <c r="D7" s="50">
        <v>3</v>
      </c>
      <c r="E7" s="62"/>
      <c r="F7" s="51">
        <v>70</v>
      </c>
      <c r="G7" s="49"/>
      <c r="H7" s="53"/>
      <c r="I7" s="52"/>
      <c r="J7" s="52"/>
      <c r="K7" s="32" t="s">
        <v>66</v>
      </c>
      <c r="L7" s="78">
        <v>7</v>
      </c>
      <c r="M7" s="78"/>
      <c r="N7" s="59"/>
      <c r="O7" s="81" t="s">
        <v>252</v>
      </c>
      <c r="P7" s="81">
        <v>1</v>
      </c>
      <c r="Q7" s="81" t="s">
        <v>253</v>
      </c>
      <c r="R7" s="81" t="s">
        <v>257</v>
      </c>
      <c r="S7" s="81">
        <v>8467</v>
      </c>
      <c r="T7" s="80" t="str">
        <f>REPLACE(INDEX(GroupVertices[Group],MATCH(Edges[[#This Row],[Vertex 1]],GroupVertices[Vertex],0)),1,1,"")</f>
        <v>5</v>
      </c>
      <c r="U7" s="80" t="str">
        <f>REPLACE(INDEX(GroupVertices[Group],MATCH(Edges[[#This Row],[Vertex 2]],GroupVertices[Vertex],0)),1,1,"")</f>
        <v>5</v>
      </c>
      <c r="V7" s="47">
        <v>0</v>
      </c>
      <c r="W7" s="48">
        <v>0</v>
      </c>
      <c r="X7" s="47">
        <v>0</v>
      </c>
      <c r="Y7" s="48">
        <v>0</v>
      </c>
      <c r="Z7" s="47">
        <v>0</v>
      </c>
      <c r="AA7" s="48">
        <v>0</v>
      </c>
      <c r="AB7" s="47">
        <v>1</v>
      </c>
      <c r="AC7" s="48">
        <v>25</v>
      </c>
      <c r="AD7" s="47">
        <v>4</v>
      </c>
    </row>
    <row r="8" spans="1:30" ht="45">
      <c r="A8" s="79" t="s">
        <v>222</v>
      </c>
      <c r="B8" s="79" t="s">
        <v>221</v>
      </c>
      <c r="C8" s="49" t="s">
        <v>573</v>
      </c>
      <c r="D8" s="50">
        <v>3</v>
      </c>
      <c r="E8" s="62"/>
      <c r="F8" s="51">
        <v>70</v>
      </c>
      <c r="G8" s="49"/>
      <c r="H8" s="53"/>
      <c r="I8" s="52"/>
      <c r="J8" s="52"/>
      <c r="K8" s="32" t="s">
        <v>66</v>
      </c>
      <c r="L8" s="78">
        <v>8</v>
      </c>
      <c r="M8" s="78"/>
      <c r="N8" s="59"/>
      <c r="O8" s="81" t="s">
        <v>252</v>
      </c>
      <c r="P8" s="81">
        <v>1</v>
      </c>
      <c r="Q8" s="81" t="s">
        <v>253</v>
      </c>
      <c r="R8" s="81" t="s">
        <v>258</v>
      </c>
      <c r="S8" s="81">
        <v>8039</v>
      </c>
      <c r="T8" s="80" t="str">
        <f>REPLACE(INDEX(GroupVertices[Group],MATCH(Edges[[#This Row],[Vertex 1]],GroupVertices[Vertex],0)),1,1,"")</f>
        <v>5</v>
      </c>
      <c r="U8" s="80" t="str">
        <f>REPLACE(INDEX(GroupVertices[Group],MATCH(Edges[[#This Row],[Vertex 2]],GroupVertices[Vertex],0)),1,1,"")</f>
        <v>5</v>
      </c>
      <c r="V8" s="47">
        <v>0</v>
      </c>
      <c r="W8" s="48">
        <v>0</v>
      </c>
      <c r="X8" s="47">
        <v>0</v>
      </c>
      <c r="Y8" s="48">
        <v>0</v>
      </c>
      <c r="Z8" s="47">
        <v>0</v>
      </c>
      <c r="AA8" s="48">
        <v>0</v>
      </c>
      <c r="AB8" s="47">
        <v>16</v>
      </c>
      <c r="AC8" s="48">
        <v>64</v>
      </c>
      <c r="AD8" s="47">
        <v>25</v>
      </c>
    </row>
    <row r="9" spans="1:30" ht="45">
      <c r="A9" s="79" t="s">
        <v>221</v>
      </c>
      <c r="B9" s="79" t="s">
        <v>222</v>
      </c>
      <c r="C9" s="49" t="s">
        <v>573</v>
      </c>
      <c r="D9" s="50">
        <v>3</v>
      </c>
      <c r="E9" s="62"/>
      <c r="F9" s="51">
        <v>70</v>
      </c>
      <c r="G9" s="49"/>
      <c r="H9" s="53"/>
      <c r="I9" s="52"/>
      <c r="J9" s="52"/>
      <c r="K9" s="32" t="s">
        <v>66</v>
      </c>
      <c r="L9" s="78">
        <v>9</v>
      </c>
      <c r="M9" s="78"/>
      <c r="N9" s="59"/>
      <c r="O9" s="81" t="s">
        <v>252</v>
      </c>
      <c r="P9" s="81">
        <v>1</v>
      </c>
      <c r="Q9" s="81" t="s">
        <v>253</v>
      </c>
      <c r="R9" s="81" t="s">
        <v>257</v>
      </c>
      <c r="S9" s="81">
        <v>8429</v>
      </c>
      <c r="T9" s="80" t="str">
        <f>REPLACE(INDEX(GroupVertices[Group],MATCH(Edges[[#This Row],[Vertex 1]],GroupVertices[Vertex],0)),1,1,"")</f>
        <v>5</v>
      </c>
      <c r="U9" s="80" t="str">
        <f>REPLACE(INDEX(GroupVertices[Group],MATCH(Edges[[#This Row],[Vertex 2]],GroupVertices[Vertex],0)),1,1,"")</f>
        <v>5</v>
      </c>
      <c r="V9" s="47">
        <v>0</v>
      </c>
      <c r="W9" s="48">
        <v>0</v>
      </c>
      <c r="X9" s="47">
        <v>0</v>
      </c>
      <c r="Y9" s="48">
        <v>0</v>
      </c>
      <c r="Z9" s="47">
        <v>0</v>
      </c>
      <c r="AA9" s="48">
        <v>0</v>
      </c>
      <c r="AB9" s="47">
        <v>1</v>
      </c>
      <c r="AC9" s="48">
        <v>25</v>
      </c>
      <c r="AD9" s="47">
        <v>4</v>
      </c>
    </row>
    <row r="10" spans="1:30" ht="45">
      <c r="A10" s="79" t="s">
        <v>221</v>
      </c>
      <c r="B10" s="79" t="s">
        <v>219</v>
      </c>
      <c r="C10" s="49" t="s">
        <v>573</v>
      </c>
      <c r="D10" s="50">
        <v>3</v>
      </c>
      <c r="E10" s="62"/>
      <c r="F10" s="51">
        <v>70</v>
      </c>
      <c r="G10" s="49"/>
      <c r="H10" s="53"/>
      <c r="I10" s="52"/>
      <c r="J10" s="52"/>
      <c r="K10" s="32" t="s">
        <v>65</v>
      </c>
      <c r="L10" s="78">
        <v>10</v>
      </c>
      <c r="M10" s="78"/>
      <c r="N10" s="59"/>
      <c r="O10" s="81" t="s">
        <v>252</v>
      </c>
      <c r="P10" s="81">
        <v>1</v>
      </c>
      <c r="Q10" s="81" t="s">
        <v>253</v>
      </c>
      <c r="R10" s="81" t="s">
        <v>259</v>
      </c>
      <c r="S10" s="81">
        <v>8462</v>
      </c>
      <c r="T10" s="80" t="str">
        <f>REPLACE(INDEX(GroupVertices[Group],MATCH(Edges[[#This Row],[Vertex 1]],GroupVertices[Vertex],0)),1,1,"")</f>
        <v>5</v>
      </c>
      <c r="U10" s="80" t="str">
        <f>REPLACE(INDEX(GroupVertices[Group],MATCH(Edges[[#This Row],[Vertex 2]],GroupVertices[Vertex],0)),1,1,"")</f>
        <v>3</v>
      </c>
      <c r="V10" s="47">
        <v>0</v>
      </c>
      <c r="W10" s="48">
        <v>0</v>
      </c>
      <c r="X10" s="47">
        <v>0</v>
      </c>
      <c r="Y10" s="48">
        <v>0</v>
      </c>
      <c r="Z10" s="47">
        <v>0</v>
      </c>
      <c r="AA10" s="48">
        <v>0</v>
      </c>
      <c r="AB10" s="47">
        <v>1</v>
      </c>
      <c r="AC10" s="48">
        <v>25</v>
      </c>
      <c r="AD10" s="47">
        <v>4</v>
      </c>
    </row>
    <row r="11" spans="1:30" ht="45">
      <c r="A11" s="79" t="s">
        <v>221</v>
      </c>
      <c r="B11" s="79" t="s">
        <v>221</v>
      </c>
      <c r="C11" s="49" t="s">
        <v>573</v>
      </c>
      <c r="D11" s="50">
        <v>3</v>
      </c>
      <c r="E11" s="62"/>
      <c r="F11" s="51">
        <v>70</v>
      </c>
      <c r="G11" s="49"/>
      <c r="H11" s="53"/>
      <c r="I11" s="52"/>
      <c r="J11" s="52"/>
      <c r="K11" s="32" t="s">
        <v>65</v>
      </c>
      <c r="L11" s="78">
        <v>11</v>
      </c>
      <c r="M11" s="78"/>
      <c r="N11" s="59"/>
      <c r="O11" s="81" t="s">
        <v>252</v>
      </c>
      <c r="P11" s="81">
        <v>1</v>
      </c>
      <c r="Q11" s="81" t="s">
        <v>253</v>
      </c>
      <c r="R11" s="81" t="s">
        <v>257</v>
      </c>
      <c r="S11" s="81">
        <v>8673</v>
      </c>
      <c r="T11" s="80" t="str">
        <f>REPLACE(INDEX(GroupVertices[Group],MATCH(Edges[[#This Row],[Vertex 1]],GroupVertices[Vertex],0)),1,1,"")</f>
        <v>5</v>
      </c>
      <c r="U11" s="80" t="str">
        <f>REPLACE(INDEX(GroupVertices[Group],MATCH(Edges[[#This Row],[Vertex 2]],GroupVertices[Vertex],0)),1,1,"")</f>
        <v>5</v>
      </c>
      <c r="V11" s="47">
        <v>0</v>
      </c>
      <c r="W11" s="48">
        <v>0</v>
      </c>
      <c r="X11" s="47">
        <v>0</v>
      </c>
      <c r="Y11" s="48">
        <v>0</v>
      </c>
      <c r="Z11" s="47">
        <v>0</v>
      </c>
      <c r="AA11" s="48">
        <v>0</v>
      </c>
      <c r="AB11" s="47">
        <v>1</v>
      </c>
      <c r="AC11" s="48">
        <v>25</v>
      </c>
      <c r="AD11" s="47">
        <v>4</v>
      </c>
    </row>
    <row r="12" spans="1:30" ht="45">
      <c r="A12" s="79" t="s">
        <v>223</v>
      </c>
      <c r="B12" s="79" t="s">
        <v>221</v>
      </c>
      <c r="C12" s="49" t="s">
        <v>573</v>
      </c>
      <c r="D12" s="50">
        <v>3</v>
      </c>
      <c r="E12" s="62"/>
      <c r="F12" s="51">
        <v>70</v>
      </c>
      <c r="G12" s="49"/>
      <c r="H12" s="53"/>
      <c r="I12" s="52"/>
      <c r="J12" s="52"/>
      <c r="K12" s="32" t="s">
        <v>65</v>
      </c>
      <c r="L12" s="78">
        <v>12</v>
      </c>
      <c r="M12" s="78"/>
      <c r="N12" s="59"/>
      <c r="O12" s="81" t="s">
        <v>252</v>
      </c>
      <c r="P12" s="81">
        <v>1</v>
      </c>
      <c r="Q12" s="81" t="s">
        <v>253</v>
      </c>
      <c r="R12" s="81" t="s">
        <v>260</v>
      </c>
      <c r="S12" s="81">
        <v>8039</v>
      </c>
      <c r="T12" s="80" t="str">
        <f>REPLACE(INDEX(GroupVertices[Group],MATCH(Edges[[#This Row],[Vertex 1]],GroupVertices[Vertex],0)),1,1,"")</f>
        <v>5</v>
      </c>
      <c r="U12" s="80" t="str">
        <f>REPLACE(INDEX(GroupVertices[Group],MATCH(Edges[[#This Row],[Vertex 2]],GroupVertices[Vertex],0)),1,1,"")</f>
        <v>5</v>
      </c>
      <c r="V12" s="47">
        <v>0</v>
      </c>
      <c r="W12" s="48">
        <v>0</v>
      </c>
      <c r="X12" s="47">
        <v>0</v>
      </c>
      <c r="Y12" s="48">
        <v>0</v>
      </c>
      <c r="Z12" s="47">
        <v>0</v>
      </c>
      <c r="AA12" s="48">
        <v>0</v>
      </c>
      <c r="AB12" s="47">
        <v>16</v>
      </c>
      <c r="AC12" s="48">
        <v>69.56521739130434</v>
      </c>
      <c r="AD12" s="47">
        <v>23</v>
      </c>
    </row>
    <row r="13" spans="1:30" ht="45">
      <c r="A13" s="79" t="s">
        <v>224</v>
      </c>
      <c r="B13" s="79" t="s">
        <v>223</v>
      </c>
      <c r="C13" s="49" t="s">
        <v>573</v>
      </c>
      <c r="D13" s="50">
        <v>3</v>
      </c>
      <c r="E13" s="62"/>
      <c r="F13" s="51">
        <v>70</v>
      </c>
      <c r="G13" s="49"/>
      <c r="H13" s="53"/>
      <c r="I13" s="52"/>
      <c r="J13" s="52"/>
      <c r="K13" s="32" t="s">
        <v>65</v>
      </c>
      <c r="L13" s="78">
        <v>13</v>
      </c>
      <c r="M13" s="78"/>
      <c r="N13" s="59"/>
      <c r="O13" s="81" t="s">
        <v>252</v>
      </c>
      <c r="P13" s="81">
        <v>1</v>
      </c>
      <c r="Q13" s="81" t="s">
        <v>253</v>
      </c>
      <c r="R13" s="81" t="s">
        <v>261</v>
      </c>
      <c r="S13" s="81">
        <v>8176</v>
      </c>
      <c r="T13" s="80" t="str">
        <f>REPLACE(INDEX(GroupVertices[Group],MATCH(Edges[[#This Row],[Vertex 1]],GroupVertices[Vertex],0)),1,1,"")</f>
        <v>5</v>
      </c>
      <c r="U13" s="80" t="str">
        <f>REPLACE(INDEX(GroupVertices[Group],MATCH(Edges[[#This Row],[Vertex 2]],GroupVertices[Vertex],0)),1,1,"")</f>
        <v>5</v>
      </c>
      <c r="V13" s="47">
        <v>0</v>
      </c>
      <c r="W13" s="48">
        <v>0</v>
      </c>
      <c r="X13" s="47">
        <v>0</v>
      </c>
      <c r="Y13" s="48">
        <v>0</v>
      </c>
      <c r="Z13" s="47">
        <v>0</v>
      </c>
      <c r="AA13" s="48">
        <v>0</v>
      </c>
      <c r="AB13" s="47">
        <v>1</v>
      </c>
      <c r="AC13" s="48">
        <v>33.333333333333336</v>
      </c>
      <c r="AD13" s="47">
        <v>3</v>
      </c>
    </row>
    <row r="14" spans="1:30" ht="45">
      <c r="A14" s="79" t="s">
        <v>225</v>
      </c>
      <c r="B14" s="79" t="s">
        <v>224</v>
      </c>
      <c r="C14" s="49" t="s">
        <v>573</v>
      </c>
      <c r="D14" s="50">
        <v>3</v>
      </c>
      <c r="E14" s="62"/>
      <c r="F14" s="51">
        <v>70</v>
      </c>
      <c r="G14" s="49"/>
      <c r="H14" s="53"/>
      <c r="I14" s="52"/>
      <c r="J14" s="52"/>
      <c r="K14" s="32" t="s">
        <v>65</v>
      </c>
      <c r="L14" s="78">
        <v>14</v>
      </c>
      <c r="M14" s="78"/>
      <c r="N14" s="59"/>
      <c r="O14" s="81" t="s">
        <v>252</v>
      </c>
      <c r="P14" s="81">
        <v>1</v>
      </c>
      <c r="Q14" s="81" t="s">
        <v>253</v>
      </c>
      <c r="R14" s="81" t="s">
        <v>262</v>
      </c>
      <c r="S14" s="81">
        <v>6754</v>
      </c>
      <c r="T14" s="80" t="str">
        <f>REPLACE(INDEX(GroupVertices[Group],MATCH(Edges[[#This Row],[Vertex 1]],GroupVertices[Vertex],0)),1,1,"")</f>
        <v>2</v>
      </c>
      <c r="U14" s="80" t="str">
        <f>REPLACE(INDEX(GroupVertices[Group],MATCH(Edges[[#This Row],[Vertex 2]],GroupVertices[Vertex],0)),1,1,"")</f>
        <v>5</v>
      </c>
      <c r="V14" s="47">
        <v>0</v>
      </c>
      <c r="W14" s="48">
        <v>0</v>
      </c>
      <c r="X14" s="47">
        <v>0</v>
      </c>
      <c r="Y14" s="48">
        <v>0</v>
      </c>
      <c r="Z14" s="47">
        <v>0</v>
      </c>
      <c r="AA14" s="48">
        <v>0</v>
      </c>
      <c r="AB14" s="47">
        <v>3</v>
      </c>
      <c r="AC14" s="48">
        <v>27.272727272727273</v>
      </c>
      <c r="AD14" s="47">
        <v>11</v>
      </c>
    </row>
    <row r="15" spans="1:30" ht="45">
      <c r="A15" s="79" t="s">
        <v>226</v>
      </c>
      <c r="B15" s="79" t="s">
        <v>225</v>
      </c>
      <c r="C15" s="49" t="s">
        <v>573</v>
      </c>
      <c r="D15" s="50">
        <v>3</v>
      </c>
      <c r="E15" s="62"/>
      <c r="F15" s="51">
        <v>70</v>
      </c>
      <c r="G15" s="49"/>
      <c r="H15" s="53"/>
      <c r="I15" s="52"/>
      <c r="J15" s="52"/>
      <c r="K15" s="32" t="s">
        <v>65</v>
      </c>
      <c r="L15" s="78">
        <v>15</v>
      </c>
      <c r="M15" s="78"/>
      <c r="N15" s="59"/>
      <c r="O15" s="81" t="s">
        <v>252</v>
      </c>
      <c r="P15" s="81">
        <v>1</v>
      </c>
      <c r="Q15" s="81" t="s">
        <v>253</v>
      </c>
      <c r="R15" s="81" t="s">
        <v>263</v>
      </c>
      <c r="S15" s="81">
        <v>6617</v>
      </c>
      <c r="T15" s="80" t="str">
        <f>REPLACE(INDEX(GroupVertices[Group],MATCH(Edges[[#This Row],[Vertex 1]],GroupVertices[Vertex],0)),1,1,"")</f>
        <v>2</v>
      </c>
      <c r="U15" s="80" t="str">
        <f>REPLACE(INDEX(GroupVertices[Group],MATCH(Edges[[#This Row],[Vertex 2]],GroupVertices[Vertex],0)),1,1,"")</f>
        <v>2</v>
      </c>
      <c r="V15" s="47">
        <v>0</v>
      </c>
      <c r="W15" s="48">
        <v>0</v>
      </c>
      <c r="X15" s="47">
        <v>1</v>
      </c>
      <c r="Y15" s="48">
        <v>50</v>
      </c>
      <c r="Z15" s="47">
        <v>0</v>
      </c>
      <c r="AA15" s="48">
        <v>0</v>
      </c>
      <c r="AB15" s="47">
        <v>1</v>
      </c>
      <c r="AC15" s="48">
        <v>50</v>
      </c>
      <c r="AD15" s="47">
        <v>2</v>
      </c>
    </row>
    <row r="16" spans="1:30" ht="45">
      <c r="A16" s="79" t="s">
        <v>227</v>
      </c>
      <c r="B16" s="79" t="s">
        <v>226</v>
      </c>
      <c r="C16" s="49" t="s">
        <v>573</v>
      </c>
      <c r="D16" s="50">
        <v>3</v>
      </c>
      <c r="E16" s="62"/>
      <c r="F16" s="51">
        <v>70</v>
      </c>
      <c r="G16" s="49"/>
      <c r="H16" s="53"/>
      <c r="I16" s="52"/>
      <c r="J16" s="52"/>
      <c r="K16" s="32" t="s">
        <v>65</v>
      </c>
      <c r="L16" s="78">
        <v>16</v>
      </c>
      <c r="M16" s="78"/>
      <c r="N16" s="59"/>
      <c r="O16" s="81" t="s">
        <v>252</v>
      </c>
      <c r="P16" s="81">
        <v>1</v>
      </c>
      <c r="Q16" s="81" t="s">
        <v>253</v>
      </c>
      <c r="R16" s="81" t="s">
        <v>264</v>
      </c>
      <c r="S16" s="81">
        <v>6768</v>
      </c>
      <c r="T16" s="80" t="str">
        <f>REPLACE(INDEX(GroupVertices[Group],MATCH(Edges[[#This Row],[Vertex 1]],GroupVertices[Vertex],0)),1,1,"")</f>
        <v>2</v>
      </c>
      <c r="U16" s="80" t="str">
        <f>REPLACE(INDEX(GroupVertices[Group],MATCH(Edges[[#This Row],[Vertex 2]],GroupVertices[Vertex],0)),1,1,"")</f>
        <v>2</v>
      </c>
      <c r="V16" s="47">
        <v>0</v>
      </c>
      <c r="W16" s="48">
        <v>0</v>
      </c>
      <c r="X16" s="47">
        <v>0</v>
      </c>
      <c r="Y16" s="48">
        <v>0</v>
      </c>
      <c r="Z16" s="47">
        <v>0</v>
      </c>
      <c r="AA16" s="48">
        <v>0</v>
      </c>
      <c r="AB16" s="47">
        <v>1</v>
      </c>
      <c r="AC16" s="48">
        <v>33.333333333333336</v>
      </c>
      <c r="AD16" s="47">
        <v>3</v>
      </c>
    </row>
    <row r="17" spans="1:30" ht="45">
      <c r="A17" s="79" t="s">
        <v>219</v>
      </c>
      <c r="B17" s="79" t="s">
        <v>227</v>
      </c>
      <c r="C17" s="49" t="s">
        <v>573</v>
      </c>
      <c r="D17" s="50">
        <v>3</v>
      </c>
      <c r="E17" s="62"/>
      <c r="F17" s="51">
        <v>70</v>
      </c>
      <c r="G17" s="49"/>
      <c r="H17" s="53"/>
      <c r="I17" s="52"/>
      <c r="J17" s="52"/>
      <c r="K17" s="32" t="s">
        <v>65</v>
      </c>
      <c r="L17" s="78">
        <v>17</v>
      </c>
      <c r="M17" s="78"/>
      <c r="N17" s="59"/>
      <c r="O17" s="81" t="s">
        <v>252</v>
      </c>
      <c r="P17" s="81">
        <v>1</v>
      </c>
      <c r="Q17" s="81" t="s">
        <v>253</v>
      </c>
      <c r="R17" s="81" t="s">
        <v>265</v>
      </c>
      <c r="S17" s="81">
        <v>6617</v>
      </c>
      <c r="T17" s="80" t="str">
        <f>REPLACE(INDEX(GroupVertices[Group],MATCH(Edges[[#This Row],[Vertex 1]],GroupVertices[Vertex],0)),1,1,"")</f>
        <v>3</v>
      </c>
      <c r="U17" s="80" t="str">
        <f>REPLACE(INDEX(GroupVertices[Group],MATCH(Edges[[#This Row],[Vertex 2]],GroupVertices[Vertex],0)),1,1,"")</f>
        <v>2</v>
      </c>
      <c r="V17" s="47">
        <v>0</v>
      </c>
      <c r="W17" s="48">
        <v>0</v>
      </c>
      <c r="X17" s="47">
        <v>0</v>
      </c>
      <c r="Y17" s="48">
        <v>0</v>
      </c>
      <c r="Z17" s="47">
        <v>0</v>
      </c>
      <c r="AA17" s="48">
        <v>0</v>
      </c>
      <c r="AB17" s="47">
        <v>16</v>
      </c>
      <c r="AC17" s="48">
        <v>64</v>
      </c>
      <c r="AD17" s="47">
        <v>25</v>
      </c>
    </row>
    <row r="18" spans="1:30" ht="45">
      <c r="A18" s="79" t="s">
        <v>228</v>
      </c>
      <c r="B18" s="79" t="s">
        <v>219</v>
      </c>
      <c r="C18" s="49" t="s">
        <v>573</v>
      </c>
      <c r="D18" s="50">
        <v>3</v>
      </c>
      <c r="E18" s="62"/>
      <c r="F18" s="51">
        <v>70</v>
      </c>
      <c r="G18" s="49"/>
      <c r="H18" s="53"/>
      <c r="I18" s="52"/>
      <c r="J18" s="52"/>
      <c r="K18" s="32" t="s">
        <v>66</v>
      </c>
      <c r="L18" s="78">
        <v>18</v>
      </c>
      <c r="M18" s="78"/>
      <c r="N18" s="59"/>
      <c r="O18" s="81" t="s">
        <v>252</v>
      </c>
      <c r="P18" s="81">
        <v>1</v>
      </c>
      <c r="Q18" s="81" t="s">
        <v>253</v>
      </c>
      <c r="R18" s="81" t="s">
        <v>266</v>
      </c>
      <c r="S18" s="81">
        <v>6790</v>
      </c>
      <c r="T18" s="80" t="str">
        <f>REPLACE(INDEX(GroupVertices[Group],MATCH(Edges[[#This Row],[Vertex 1]],GroupVertices[Vertex],0)),1,1,"")</f>
        <v>3</v>
      </c>
      <c r="U18" s="80" t="str">
        <f>REPLACE(INDEX(GroupVertices[Group],MATCH(Edges[[#This Row],[Vertex 2]],GroupVertices[Vertex],0)),1,1,"")</f>
        <v>3</v>
      </c>
      <c r="V18" s="47">
        <v>0</v>
      </c>
      <c r="W18" s="48">
        <v>0</v>
      </c>
      <c r="X18" s="47">
        <v>0</v>
      </c>
      <c r="Y18" s="48">
        <v>0</v>
      </c>
      <c r="Z18" s="47">
        <v>0</v>
      </c>
      <c r="AA18" s="48">
        <v>0</v>
      </c>
      <c r="AB18" s="47">
        <v>2</v>
      </c>
      <c r="AC18" s="48">
        <v>50</v>
      </c>
      <c r="AD18" s="47">
        <v>4</v>
      </c>
    </row>
    <row r="19" spans="1:30" ht="45">
      <c r="A19" s="79" t="s">
        <v>219</v>
      </c>
      <c r="B19" s="79" t="s">
        <v>228</v>
      </c>
      <c r="C19" s="49" t="s">
        <v>573</v>
      </c>
      <c r="D19" s="50">
        <v>3</v>
      </c>
      <c r="E19" s="62"/>
      <c r="F19" s="51">
        <v>70</v>
      </c>
      <c r="G19" s="49"/>
      <c r="H19" s="53"/>
      <c r="I19" s="52"/>
      <c r="J19" s="52"/>
      <c r="K19" s="32" t="s">
        <v>66</v>
      </c>
      <c r="L19" s="78">
        <v>19</v>
      </c>
      <c r="M19" s="78"/>
      <c r="N19" s="59"/>
      <c r="O19" s="81" t="s">
        <v>252</v>
      </c>
      <c r="P19" s="81">
        <v>1</v>
      </c>
      <c r="Q19" s="81" t="s">
        <v>253</v>
      </c>
      <c r="R19" s="81" t="s">
        <v>267</v>
      </c>
      <c r="S19" s="81">
        <v>6617</v>
      </c>
      <c r="T19" s="80" t="str">
        <f>REPLACE(INDEX(GroupVertices[Group],MATCH(Edges[[#This Row],[Vertex 1]],GroupVertices[Vertex],0)),1,1,"")</f>
        <v>3</v>
      </c>
      <c r="U19" s="80" t="str">
        <f>REPLACE(INDEX(GroupVertices[Group],MATCH(Edges[[#This Row],[Vertex 2]],GroupVertices[Vertex],0)),1,1,"")</f>
        <v>3</v>
      </c>
      <c r="V19" s="47">
        <v>0</v>
      </c>
      <c r="W19" s="48">
        <v>0</v>
      </c>
      <c r="X19" s="47">
        <v>0</v>
      </c>
      <c r="Y19" s="48">
        <v>0</v>
      </c>
      <c r="Z19" s="47">
        <v>0</v>
      </c>
      <c r="AA19" s="48">
        <v>0</v>
      </c>
      <c r="AB19" s="47">
        <v>16</v>
      </c>
      <c r="AC19" s="48">
        <v>64</v>
      </c>
      <c r="AD19" s="47">
        <v>25</v>
      </c>
    </row>
    <row r="20" spans="1:30" ht="45">
      <c r="A20" s="79" t="s">
        <v>229</v>
      </c>
      <c r="B20" s="79" t="s">
        <v>219</v>
      </c>
      <c r="C20" s="49" t="s">
        <v>573</v>
      </c>
      <c r="D20" s="50">
        <v>3</v>
      </c>
      <c r="E20" s="62"/>
      <c r="F20" s="51">
        <v>70</v>
      </c>
      <c r="G20" s="49"/>
      <c r="H20" s="53"/>
      <c r="I20" s="52"/>
      <c r="J20" s="52"/>
      <c r="K20" s="32" t="s">
        <v>65</v>
      </c>
      <c r="L20" s="78">
        <v>20</v>
      </c>
      <c r="M20" s="78"/>
      <c r="N20" s="59"/>
      <c r="O20" s="81" t="s">
        <v>252</v>
      </c>
      <c r="P20" s="81">
        <v>1</v>
      </c>
      <c r="Q20" s="81" t="s">
        <v>253</v>
      </c>
      <c r="R20" s="81" t="s">
        <v>268</v>
      </c>
      <c r="S20" s="81">
        <v>7105</v>
      </c>
      <c r="T20" s="80" t="str">
        <f>REPLACE(INDEX(GroupVertices[Group],MATCH(Edges[[#This Row],[Vertex 1]],GroupVertices[Vertex],0)),1,1,"")</f>
        <v>2</v>
      </c>
      <c r="U20" s="80" t="str">
        <f>REPLACE(INDEX(GroupVertices[Group],MATCH(Edges[[#This Row],[Vertex 2]],GroupVertices[Vertex],0)),1,1,"")</f>
        <v>3</v>
      </c>
      <c r="V20" s="47">
        <v>0</v>
      </c>
      <c r="W20" s="48">
        <v>0</v>
      </c>
      <c r="X20" s="47">
        <v>0</v>
      </c>
      <c r="Y20" s="48">
        <v>0</v>
      </c>
      <c r="Z20" s="47">
        <v>0</v>
      </c>
      <c r="AA20" s="48">
        <v>0</v>
      </c>
      <c r="AB20" s="47">
        <v>5</v>
      </c>
      <c r="AC20" s="48">
        <v>55.55555555555556</v>
      </c>
      <c r="AD20" s="47">
        <v>9</v>
      </c>
    </row>
    <row r="21" spans="1:30" ht="45">
      <c r="A21" s="79" t="s">
        <v>230</v>
      </c>
      <c r="B21" s="79" t="s">
        <v>229</v>
      </c>
      <c r="C21" s="49" t="s">
        <v>573</v>
      </c>
      <c r="D21" s="50">
        <v>3</v>
      </c>
      <c r="E21" s="62"/>
      <c r="F21" s="51">
        <v>70</v>
      </c>
      <c r="G21" s="49"/>
      <c r="H21" s="53"/>
      <c r="I21" s="52"/>
      <c r="J21" s="52"/>
      <c r="K21" s="32" t="s">
        <v>65</v>
      </c>
      <c r="L21" s="78">
        <v>21</v>
      </c>
      <c r="M21" s="78"/>
      <c r="N21" s="59"/>
      <c r="O21" s="81" t="s">
        <v>252</v>
      </c>
      <c r="P21" s="81">
        <v>1</v>
      </c>
      <c r="Q21" s="81" t="s">
        <v>253</v>
      </c>
      <c r="R21" s="81" t="s">
        <v>269</v>
      </c>
      <c r="S21" s="81">
        <v>7648</v>
      </c>
      <c r="T21" s="80" t="str">
        <f>REPLACE(INDEX(GroupVertices[Group],MATCH(Edges[[#This Row],[Vertex 1]],GroupVertices[Vertex],0)),1,1,"")</f>
        <v>2</v>
      </c>
      <c r="U21" s="80" t="str">
        <f>REPLACE(INDEX(GroupVertices[Group],MATCH(Edges[[#This Row],[Vertex 2]],GroupVertices[Vertex],0)),1,1,"")</f>
        <v>2</v>
      </c>
      <c r="V21" s="47">
        <v>0</v>
      </c>
      <c r="W21" s="48">
        <v>0</v>
      </c>
      <c r="X21" s="47">
        <v>0</v>
      </c>
      <c r="Y21" s="48">
        <v>0</v>
      </c>
      <c r="Z21" s="47">
        <v>0</v>
      </c>
      <c r="AA21" s="48">
        <v>0</v>
      </c>
      <c r="AB21" s="47">
        <v>13</v>
      </c>
      <c r="AC21" s="48">
        <v>68.42105263157895</v>
      </c>
      <c r="AD21" s="47">
        <v>19</v>
      </c>
    </row>
    <row r="22" spans="1:30" ht="45">
      <c r="A22" s="79" t="s">
        <v>231</v>
      </c>
      <c r="B22" s="79" t="s">
        <v>230</v>
      </c>
      <c r="C22" s="49" t="s">
        <v>573</v>
      </c>
      <c r="D22" s="50">
        <v>3</v>
      </c>
      <c r="E22" s="62"/>
      <c r="F22" s="51">
        <v>70</v>
      </c>
      <c r="G22" s="49"/>
      <c r="H22" s="53"/>
      <c r="I22" s="52"/>
      <c r="J22" s="52"/>
      <c r="K22" s="32" t="s">
        <v>65</v>
      </c>
      <c r="L22" s="78">
        <v>22</v>
      </c>
      <c r="M22" s="78"/>
      <c r="N22" s="59"/>
      <c r="O22" s="81" t="s">
        <v>252</v>
      </c>
      <c r="P22" s="81">
        <v>1</v>
      </c>
      <c r="Q22" s="81" t="s">
        <v>253</v>
      </c>
      <c r="R22" s="81" t="s">
        <v>270</v>
      </c>
      <c r="S22" s="81">
        <v>9334</v>
      </c>
      <c r="T22" s="80" t="str">
        <f>REPLACE(INDEX(GroupVertices[Group],MATCH(Edges[[#This Row],[Vertex 1]],GroupVertices[Vertex],0)),1,1,"")</f>
        <v>2</v>
      </c>
      <c r="U22" s="80" t="str">
        <f>REPLACE(INDEX(GroupVertices[Group],MATCH(Edges[[#This Row],[Vertex 2]],GroupVertices[Vertex],0)),1,1,"")</f>
        <v>2</v>
      </c>
      <c r="V22" s="47">
        <v>0</v>
      </c>
      <c r="W22" s="48">
        <v>0</v>
      </c>
      <c r="X22" s="47">
        <v>0</v>
      </c>
      <c r="Y22" s="48">
        <v>0</v>
      </c>
      <c r="Z22" s="47">
        <v>0</v>
      </c>
      <c r="AA22" s="48">
        <v>0</v>
      </c>
      <c r="AB22" s="47">
        <v>0</v>
      </c>
      <c r="AC22" s="48">
        <v>0</v>
      </c>
      <c r="AD22" s="47">
        <v>6</v>
      </c>
    </row>
    <row r="23" spans="1:30" ht="45">
      <c r="A23" s="79" t="s">
        <v>225</v>
      </c>
      <c r="B23" s="79" t="s">
        <v>231</v>
      </c>
      <c r="C23" s="49" t="s">
        <v>573</v>
      </c>
      <c r="D23" s="50">
        <v>3</v>
      </c>
      <c r="E23" s="62"/>
      <c r="F23" s="51">
        <v>70</v>
      </c>
      <c r="G23" s="49"/>
      <c r="H23" s="53"/>
      <c r="I23" s="52"/>
      <c r="J23" s="52"/>
      <c r="K23" s="32" t="s">
        <v>65</v>
      </c>
      <c r="L23" s="78">
        <v>23</v>
      </c>
      <c r="M23" s="78"/>
      <c r="N23" s="59"/>
      <c r="O23" s="81" t="s">
        <v>252</v>
      </c>
      <c r="P23" s="81">
        <v>1</v>
      </c>
      <c r="Q23" s="81" t="s">
        <v>253</v>
      </c>
      <c r="R23" s="81" t="s">
        <v>262</v>
      </c>
      <c r="S23" s="81">
        <v>7882</v>
      </c>
      <c r="T23" s="80" t="str">
        <f>REPLACE(INDEX(GroupVertices[Group],MATCH(Edges[[#This Row],[Vertex 1]],GroupVertices[Vertex],0)),1,1,"")</f>
        <v>2</v>
      </c>
      <c r="U23" s="80" t="str">
        <f>REPLACE(INDEX(GroupVertices[Group],MATCH(Edges[[#This Row],[Vertex 2]],GroupVertices[Vertex],0)),1,1,"")</f>
        <v>2</v>
      </c>
      <c r="V23" s="47">
        <v>0</v>
      </c>
      <c r="W23" s="48">
        <v>0</v>
      </c>
      <c r="X23" s="47">
        <v>0</v>
      </c>
      <c r="Y23" s="48">
        <v>0</v>
      </c>
      <c r="Z23" s="47">
        <v>0</v>
      </c>
      <c r="AA23" s="48">
        <v>0</v>
      </c>
      <c r="AB23" s="47">
        <v>3</v>
      </c>
      <c r="AC23" s="48">
        <v>27.272727272727273</v>
      </c>
      <c r="AD23" s="47">
        <v>11</v>
      </c>
    </row>
    <row r="24" spans="1:30" ht="45">
      <c r="A24" s="79" t="s">
        <v>232</v>
      </c>
      <c r="B24" s="79" t="s">
        <v>225</v>
      </c>
      <c r="C24" s="49" t="s">
        <v>573</v>
      </c>
      <c r="D24" s="50">
        <v>3</v>
      </c>
      <c r="E24" s="62"/>
      <c r="F24" s="51">
        <v>70</v>
      </c>
      <c r="G24" s="49"/>
      <c r="H24" s="53"/>
      <c r="I24" s="52"/>
      <c r="J24" s="52"/>
      <c r="K24" s="32" t="s">
        <v>65</v>
      </c>
      <c r="L24" s="78">
        <v>24</v>
      </c>
      <c r="M24" s="78"/>
      <c r="N24" s="59"/>
      <c r="O24" s="81" t="s">
        <v>252</v>
      </c>
      <c r="P24" s="81">
        <v>1</v>
      </c>
      <c r="Q24" s="81" t="s">
        <v>253</v>
      </c>
      <c r="R24" s="81" t="s">
        <v>271</v>
      </c>
      <c r="S24" s="81">
        <v>8114</v>
      </c>
      <c r="T24" s="80" t="str">
        <f>REPLACE(INDEX(GroupVertices[Group],MATCH(Edges[[#This Row],[Vertex 1]],GroupVertices[Vertex],0)),1,1,"")</f>
        <v>2</v>
      </c>
      <c r="U24" s="80" t="str">
        <f>REPLACE(INDEX(GroupVertices[Group],MATCH(Edges[[#This Row],[Vertex 2]],GroupVertices[Vertex],0)),1,1,"")</f>
        <v>2</v>
      </c>
      <c r="V24" s="47">
        <v>0</v>
      </c>
      <c r="W24" s="48">
        <v>0</v>
      </c>
      <c r="X24" s="47">
        <v>0</v>
      </c>
      <c r="Y24" s="48">
        <v>0</v>
      </c>
      <c r="Z24" s="47">
        <v>0</v>
      </c>
      <c r="AA24" s="48">
        <v>0</v>
      </c>
      <c r="AB24" s="47">
        <v>9</v>
      </c>
      <c r="AC24" s="48">
        <v>81.81818181818181</v>
      </c>
      <c r="AD24" s="47">
        <v>11</v>
      </c>
    </row>
    <row r="25" spans="1:30" ht="45">
      <c r="A25" s="79" t="s">
        <v>232</v>
      </c>
      <c r="B25" s="79" t="s">
        <v>232</v>
      </c>
      <c r="C25" s="49" t="s">
        <v>573</v>
      </c>
      <c r="D25" s="50">
        <v>3</v>
      </c>
      <c r="E25" s="62"/>
      <c r="F25" s="51">
        <v>70</v>
      </c>
      <c r="G25" s="49"/>
      <c r="H25" s="53"/>
      <c r="I25" s="52"/>
      <c r="J25" s="52"/>
      <c r="K25" s="32" t="s">
        <v>65</v>
      </c>
      <c r="L25" s="78">
        <v>25</v>
      </c>
      <c r="M25" s="78"/>
      <c r="N25" s="59"/>
      <c r="O25" s="81" t="s">
        <v>252</v>
      </c>
      <c r="P25" s="81">
        <v>1</v>
      </c>
      <c r="Q25" s="81" t="s">
        <v>253</v>
      </c>
      <c r="R25" s="81"/>
      <c r="S25" s="81">
        <v>7882</v>
      </c>
      <c r="T25" s="80" t="str">
        <f>REPLACE(INDEX(GroupVertices[Group],MATCH(Edges[[#This Row],[Vertex 1]],GroupVertices[Vertex],0)),1,1,"")</f>
        <v>2</v>
      </c>
      <c r="U25" s="80" t="str">
        <f>REPLACE(INDEX(GroupVertices[Group],MATCH(Edges[[#This Row],[Vertex 2]],GroupVertices[Vertex],0)),1,1,"")</f>
        <v>2</v>
      </c>
      <c r="V25" s="47"/>
      <c r="W25" s="48"/>
      <c r="X25" s="47"/>
      <c r="Y25" s="48"/>
      <c r="Z25" s="47"/>
      <c r="AA25" s="48"/>
      <c r="AB25" s="47"/>
      <c r="AC25" s="48"/>
      <c r="AD25" s="47"/>
    </row>
    <row r="26" spans="1:30" ht="45">
      <c r="A26" s="79" t="s">
        <v>233</v>
      </c>
      <c r="B26" s="79" t="s">
        <v>232</v>
      </c>
      <c r="C26" s="49" t="s">
        <v>573</v>
      </c>
      <c r="D26" s="50">
        <v>3</v>
      </c>
      <c r="E26" s="62"/>
      <c r="F26" s="51">
        <v>70</v>
      </c>
      <c r="G26" s="49"/>
      <c r="H26" s="53"/>
      <c r="I26" s="52"/>
      <c r="J26" s="52"/>
      <c r="K26" s="32" t="s">
        <v>65</v>
      </c>
      <c r="L26" s="78">
        <v>26</v>
      </c>
      <c r="M26" s="78"/>
      <c r="N26" s="59"/>
      <c r="O26" s="81" t="s">
        <v>252</v>
      </c>
      <c r="P26" s="81">
        <v>1</v>
      </c>
      <c r="Q26" s="81" t="s">
        <v>253</v>
      </c>
      <c r="R26" s="81" t="s">
        <v>272</v>
      </c>
      <c r="S26" s="81">
        <v>8049</v>
      </c>
      <c r="T26" s="80" t="str">
        <f>REPLACE(INDEX(GroupVertices[Group],MATCH(Edges[[#This Row],[Vertex 1]],GroupVertices[Vertex],0)),1,1,"")</f>
        <v>2</v>
      </c>
      <c r="U26" s="80" t="str">
        <f>REPLACE(INDEX(GroupVertices[Group],MATCH(Edges[[#This Row],[Vertex 2]],GroupVertices[Vertex],0)),1,1,"")</f>
        <v>2</v>
      </c>
      <c r="V26" s="47">
        <v>0</v>
      </c>
      <c r="W26" s="48">
        <v>0</v>
      </c>
      <c r="X26" s="47">
        <v>0</v>
      </c>
      <c r="Y26" s="48">
        <v>0</v>
      </c>
      <c r="Z26" s="47">
        <v>0</v>
      </c>
      <c r="AA26" s="48">
        <v>0</v>
      </c>
      <c r="AB26" s="47">
        <v>2</v>
      </c>
      <c r="AC26" s="48">
        <v>50</v>
      </c>
      <c r="AD26" s="47">
        <v>4</v>
      </c>
    </row>
    <row r="27" spans="1:30" ht="45">
      <c r="A27" s="79" t="s">
        <v>234</v>
      </c>
      <c r="B27" s="79" t="s">
        <v>233</v>
      </c>
      <c r="C27" s="49" t="s">
        <v>573</v>
      </c>
      <c r="D27" s="50">
        <v>3</v>
      </c>
      <c r="E27" s="62"/>
      <c r="F27" s="51">
        <v>70</v>
      </c>
      <c r="G27" s="49"/>
      <c r="H27" s="53"/>
      <c r="I27" s="52"/>
      <c r="J27" s="52"/>
      <c r="K27" s="32" t="s">
        <v>65</v>
      </c>
      <c r="L27" s="78">
        <v>27</v>
      </c>
      <c r="M27" s="78"/>
      <c r="N27" s="59"/>
      <c r="O27" s="81" t="s">
        <v>252</v>
      </c>
      <c r="P27" s="81">
        <v>1</v>
      </c>
      <c r="Q27" s="81" t="s">
        <v>253</v>
      </c>
      <c r="R27" s="81" t="s">
        <v>273</v>
      </c>
      <c r="S27" s="81">
        <v>7882</v>
      </c>
      <c r="T27" s="80" t="str">
        <f>REPLACE(INDEX(GroupVertices[Group],MATCH(Edges[[#This Row],[Vertex 1]],GroupVertices[Vertex],0)),1,1,"")</f>
        <v>4</v>
      </c>
      <c r="U27" s="80" t="str">
        <f>REPLACE(INDEX(GroupVertices[Group],MATCH(Edges[[#This Row],[Vertex 2]],GroupVertices[Vertex],0)),1,1,"")</f>
        <v>2</v>
      </c>
      <c r="V27" s="47">
        <v>1</v>
      </c>
      <c r="W27" s="48">
        <v>4.761904761904762</v>
      </c>
      <c r="X27" s="47">
        <v>0</v>
      </c>
      <c r="Y27" s="48">
        <v>0</v>
      </c>
      <c r="Z27" s="47">
        <v>0</v>
      </c>
      <c r="AA27" s="48">
        <v>0</v>
      </c>
      <c r="AB27" s="47">
        <v>15</v>
      </c>
      <c r="AC27" s="48">
        <v>71.42857142857143</v>
      </c>
      <c r="AD27" s="47">
        <v>21</v>
      </c>
    </row>
    <row r="28" spans="1:30" ht="45">
      <c r="A28" s="79" t="s">
        <v>235</v>
      </c>
      <c r="B28" s="79" t="s">
        <v>234</v>
      </c>
      <c r="C28" s="49" t="s">
        <v>573</v>
      </c>
      <c r="D28" s="50">
        <v>3</v>
      </c>
      <c r="E28" s="62"/>
      <c r="F28" s="51">
        <v>70</v>
      </c>
      <c r="G28" s="49"/>
      <c r="H28" s="53"/>
      <c r="I28" s="52"/>
      <c r="J28" s="52"/>
      <c r="K28" s="32" t="s">
        <v>65</v>
      </c>
      <c r="L28" s="78">
        <v>28</v>
      </c>
      <c r="M28" s="78"/>
      <c r="N28" s="59"/>
      <c r="O28" s="81" t="s">
        <v>252</v>
      </c>
      <c r="P28" s="81">
        <v>1</v>
      </c>
      <c r="Q28" s="81" t="s">
        <v>253</v>
      </c>
      <c r="R28" s="81" t="s">
        <v>274</v>
      </c>
      <c r="S28" s="81">
        <v>9013</v>
      </c>
      <c r="T28" s="80" t="str">
        <f>REPLACE(INDEX(GroupVertices[Group],MATCH(Edges[[#This Row],[Vertex 1]],GroupVertices[Vertex],0)),1,1,"")</f>
        <v>3</v>
      </c>
      <c r="U28" s="80" t="str">
        <f>REPLACE(INDEX(GroupVertices[Group],MATCH(Edges[[#This Row],[Vertex 2]],GroupVertices[Vertex],0)),1,1,"")</f>
        <v>4</v>
      </c>
      <c r="V28" s="47">
        <v>0</v>
      </c>
      <c r="W28" s="48">
        <v>0</v>
      </c>
      <c r="X28" s="47">
        <v>0</v>
      </c>
      <c r="Y28" s="48">
        <v>0</v>
      </c>
      <c r="Z28" s="47">
        <v>0</v>
      </c>
      <c r="AA28" s="48">
        <v>0</v>
      </c>
      <c r="AB28" s="47">
        <v>2</v>
      </c>
      <c r="AC28" s="48">
        <v>20</v>
      </c>
      <c r="AD28" s="47">
        <v>10</v>
      </c>
    </row>
    <row r="29" spans="1:30" ht="45">
      <c r="A29" s="79" t="s">
        <v>236</v>
      </c>
      <c r="B29" s="79" t="s">
        <v>235</v>
      </c>
      <c r="C29" s="49" t="s">
        <v>573</v>
      </c>
      <c r="D29" s="50">
        <v>3</v>
      </c>
      <c r="E29" s="62"/>
      <c r="F29" s="51">
        <v>70</v>
      </c>
      <c r="G29" s="49"/>
      <c r="H29" s="53"/>
      <c r="I29" s="52"/>
      <c r="J29" s="52"/>
      <c r="K29" s="32" t="s">
        <v>65</v>
      </c>
      <c r="L29" s="78">
        <v>29</v>
      </c>
      <c r="M29" s="78"/>
      <c r="N29" s="59"/>
      <c r="O29" s="81" t="s">
        <v>252</v>
      </c>
      <c r="P29" s="81">
        <v>1</v>
      </c>
      <c r="Q29" s="81" t="s">
        <v>253</v>
      </c>
      <c r="R29" s="81" t="s">
        <v>275</v>
      </c>
      <c r="S29" s="81">
        <v>9218</v>
      </c>
      <c r="T29" s="80" t="str">
        <f>REPLACE(INDEX(GroupVertices[Group],MATCH(Edges[[#This Row],[Vertex 1]],GroupVertices[Vertex],0)),1,1,"")</f>
        <v>3</v>
      </c>
      <c r="U29" s="80" t="str">
        <f>REPLACE(INDEX(GroupVertices[Group],MATCH(Edges[[#This Row],[Vertex 2]],GroupVertices[Vertex],0)),1,1,"")</f>
        <v>3</v>
      </c>
      <c r="V29" s="47">
        <v>0</v>
      </c>
      <c r="W29" s="48">
        <v>0</v>
      </c>
      <c r="X29" s="47">
        <v>0</v>
      </c>
      <c r="Y29" s="48">
        <v>0</v>
      </c>
      <c r="Z29" s="47">
        <v>0</v>
      </c>
      <c r="AA29" s="48">
        <v>0</v>
      </c>
      <c r="AB29" s="47">
        <v>1</v>
      </c>
      <c r="AC29" s="48">
        <v>25</v>
      </c>
      <c r="AD29" s="47">
        <v>4</v>
      </c>
    </row>
    <row r="30" spans="1:30" ht="45">
      <c r="A30" s="79" t="s">
        <v>219</v>
      </c>
      <c r="B30" s="79" t="s">
        <v>236</v>
      </c>
      <c r="C30" s="49" t="s">
        <v>573</v>
      </c>
      <c r="D30" s="50">
        <v>3</v>
      </c>
      <c r="E30" s="62"/>
      <c r="F30" s="51">
        <v>70</v>
      </c>
      <c r="G30" s="49"/>
      <c r="H30" s="53"/>
      <c r="I30" s="52"/>
      <c r="J30" s="52"/>
      <c r="K30" s="32" t="s">
        <v>65</v>
      </c>
      <c r="L30" s="78">
        <v>30</v>
      </c>
      <c r="M30" s="78"/>
      <c r="N30" s="59"/>
      <c r="O30" s="81" t="s">
        <v>252</v>
      </c>
      <c r="P30" s="81">
        <v>1</v>
      </c>
      <c r="Q30" s="81" t="s">
        <v>253</v>
      </c>
      <c r="R30" s="81" t="s">
        <v>276</v>
      </c>
      <c r="S30" s="81">
        <v>9013</v>
      </c>
      <c r="T30" s="80" t="str">
        <f>REPLACE(INDEX(GroupVertices[Group],MATCH(Edges[[#This Row],[Vertex 1]],GroupVertices[Vertex],0)),1,1,"")</f>
        <v>3</v>
      </c>
      <c r="U30" s="80" t="str">
        <f>REPLACE(INDEX(GroupVertices[Group],MATCH(Edges[[#This Row],[Vertex 2]],GroupVertices[Vertex],0)),1,1,"")</f>
        <v>3</v>
      </c>
      <c r="V30" s="47">
        <v>0</v>
      </c>
      <c r="W30" s="48">
        <v>0</v>
      </c>
      <c r="X30" s="47">
        <v>0</v>
      </c>
      <c r="Y30" s="48">
        <v>0</v>
      </c>
      <c r="Z30" s="47">
        <v>0</v>
      </c>
      <c r="AA30" s="48">
        <v>0</v>
      </c>
      <c r="AB30" s="47">
        <v>16</v>
      </c>
      <c r="AC30" s="48">
        <v>64</v>
      </c>
      <c r="AD30" s="47">
        <v>25</v>
      </c>
    </row>
    <row r="31" spans="1:30" ht="45">
      <c r="A31" s="79" t="s">
        <v>237</v>
      </c>
      <c r="B31" s="79" t="s">
        <v>219</v>
      </c>
      <c r="C31" s="49" t="s">
        <v>573</v>
      </c>
      <c r="D31" s="50">
        <v>3</v>
      </c>
      <c r="E31" s="62"/>
      <c r="F31" s="51">
        <v>70</v>
      </c>
      <c r="G31" s="49"/>
      <c r="H31" s="53"/>
      <c r="I31" s="52"/>
      <c r="J31" s="52"/>
      <c r="K31" s="32" t="s">
        <v>65</v>
      </c>
      <c r="L31" s="78">
        <v>31</v>
      </c>
      <c r="M31" s="78"/>
      <c r="N31" s="59"/>
      <c r="O31" s="81" t="s">
        <v>252</v>
      </c>
      <c r="P31" s="81">
        <v>1</v>
      </c>
      <c r="Q31" s="81" t="s">
        <v>253</v>
      </c>
      <c r="R31" s="81" t="s">
        <v>277</v>
      </c>
      <c r="S31" s="81">
        <v>9196</v>
      </c>
      <c r="T31" s="80" t="str">
        <f>REPLACE(INDEX(GroupVertices[Group],MATCH(Edges[[#This Row],[Vertex 1]],GroupVertices[Vertex],0)),1,1,"")</f>
        <v>3</v>
      </c>
      <c r="U31" s="80" t="str">
        <f>REPLACE(INDEX(GroupVertices[Group],MATCH(Edges[[#This Row],[Vertex 2]],GroupVertices[Vertex],0)),1,1,"")</f>
        <v>3</v>
      </c>
      <c r="V31" s="47">
        <v>0</v>
      </c>
      <c r="W31" s="48">
        <v>0</v>
      </c>
      <c r="X31" s="47">
        <v>0</v>
      </c>
      <c r="Y31" s="48">
        <v>0</v>
      </c>
      <c r="Z31" s="47">
        <v>0</v>
      </c>
      <c r="AA31" s="48">
        <v>0</v>
      </c>
      <c r="AB31" s="47">
        <v>8</v>
      </c>
      <c r="AC31" s="48">
        <v>80</v>
      </c>
      <c r="AD31" s="47">
        <v>10</v>
      </c>
    </row>
    <row r="32" spans="1:30" ht="45">
      <c r="A32" s="79" t="s">
        <v>234</v>
      </c>
      <c r="B32" s="79" t="s">
        <v>237</v>
      </c>
      <c r="C32" s="49" t="s">
        <v>573</v>
      </c>
      <c r="D32" s="50">
        <v>3</v>
      </c>
      <c r="E32" s="62"/>
      <c r="F32" s="51">
        <v>70</v>
      </c>
      <c r="G32" s="49"/>
      <c r="H32" s="53"/>
      <c r="I32" s="52"/>
      <c r="J32" s="52"/>
      <c r="K32" s="32" t="s">
        <v>65</v>
      </c>
      <c r="L32" s="78">
        <v>32</v>
      </c>
      <c r="M32" s="78"/>
      <c r="N32" s="59"/>
      <c r="O32" s="81" t="s">
        <v>252</v>
      </c>
      <c r="P32" s="81">
        <v>1</v>
      </c>
      <c r="Q32" s="81" t="s">
        <v>253</v>
      </c>
      <c r="R32" s="81" t="s">
        <v>278</v>
      </c>
      <c r="S32" s="81">
        <v>9013</v>
      </c>
      <c r="T32" s="80" t="str">
        <f>REPLACE(INDEX(GroupVertices[Group],MATCH(Edges[[#This Row],[Vertex 1]],GroupVertices[Vertex],0)),1,1,"")</f>
        <v>4</v>
      </c>
      <c r="U32" s="80" t="str">
        <f>REPLACE(INDEX(GroupVertices[Group],MATCH(Edges[[#This Row],[Vertex 2]],GroupVertices[Vertex],0)),1,1,"")</f>
        <v>3</v>
      </c>
      <c r="V32" s="47">
        <v>0</v>
      </c>
      <c r="W32" s="48">
        <v>0</v>
      </c>
      <c r="X32" s="47">
        <v>0</v>
      </c>
      <c r="Y32" s="48">
        <v>0</v>
      </c>
      <c r="Z32" s="47">
        <v>0</v>
      </c>
      <c r="AA32" s="48">
        <v>0</v>
      </c>
      <c r="AB32" s="47">
        <v>16</v>
      </c>
      <c r="AC32" s="48">
        <v>61.53846153846154</v>
      </c>
      <c r="AD32" s="47">
        <v>26</v>
      </c>
    </row>
    <row r="33" spans="1:30" ht="45">
      <c r="A33" s="79" t="s">
        <v>238</v>
      </c>
      <c r="B33" s="79" t="s">
        <v>234</v>
      </c>
      <c r="C33" s="49" t="s">
        <v>573</v>
      </c>
      <c r="D33" s="50">
        <v>3</v>
      </c>
      <c r="E33" s="62"/>
      <c r="F33" s="51">
        <v>70</v>
      </c>
      <c r="G33" s="49"/>
      <c r="H33" s="53"/>
      <c r="I33" s="52"/>
      <c r="J33" s="52"/>
      <c r="K33" s="32" t="s">
        <v>65</v>
      </c>
      <c r="L33" s="78">
        <v>33</v>
      </c>
      <c r="M33" s="78"/>
      <c r="N33" s="59"/>
      <c r="O33" s="81" t="s">
        <v>252</v>
      </c>
      <c r="P33" s="81">
        <v>1</v>
      </c>
      <c r="Q33" s="81" t="s">
        <v>253</v>
      </c>
      <c r="R33" s="81" t="s">
        <v>279</v>
      </c>
      <c r="S33" s="81">
        <v>9113</v>
      </c>
      <c r="T33" s="80" t="str">
        <f>REPLACE(INDEX(GroupVertices[Group],MATCH(Edges[[#This Row],[Vertex 1]],GroupVertices[Vertex],0)),1,1,"")</f>
        <v>4</v>
      </c>
      <c r="U33" s="80" t="str">
        <f>REPLACE(INDEX(GroupVertices[Group],MATCH(Edges[[#This Row],[Vertex 2]],GroupVertices[Vertex],0)),1,1,"")</f>
        <v>4</v>
      </c>
      <c r="V33" s="47">
        <v>0</v>
      </c>
      <c r="W33" s="48">
        <v>0</v>
      </c>
      <c r="X33" s="47">
        <v>0</v>
      </c>
      <c r="Y33" s="48">
        <v>0</v>
      </c>
      <c r="Z33" s="47">
        <v>0</v>
      </c>
      <c r="AA33" s="48">
        <v>0</v>
      </c>
      <c r="AB33" s="47">
        <v>2</v>
      </c>
      <c r="AC33" s="48">
        <v>25</v>
      </c>
      <c r="AD33" s="47">
        <v>8</v>
      </c>
    </row>
    <row r="34" spans="1:30" ht="45">
      <c r="A34" s="79" t="s">
        <v>239</v>
      </c>
      <c r="B34" s="79" t="s">
        <v>238</v>
      </c>
      <c r="C34" s="49" t="s">
        <v>573</v>
      </c>
      <c r="D34" s="50">
        <v>3</v>
      </c>
      <c r="E34" s="62"/>
      <c r="F34" s="51">
        <v>70</v>
      </c>
      <c r="G34" s="49"/>
      <c r="H34" s="53"/>
      <c r="I34" s="52"/>
      <c r="J34" s="52"/>
      <c r="K34" s="32" t="s">
        <v>65</v>
      </c>
      <c r="L34" s="78">
        <v>34</v>
      </c>
      <c r="M34" s="78"/>
      <c r="N34" s="59"/>
      <c r="O34" s="81" t="s">
        <v>252</v>
      </c>
      <c r="P34" s="81">
        <v>1</v>
      </c>
      <c r="Q34" s="81" t="s">
        <v>253</v>
      </c>
      <c r="R34" s="81" t="s">
        <v>280</v>
      </c>
      <c r="S34" s="81">
        <v>9414</v>
      </c>
      <c r="T34" s="80" t="str">
        <f>REPLACE(INDEX(GroupVertices[Group],MATCH(Edges[[#This Row],[Vertex 1]],GroupVertices[Vertex],0)),1,1,"")</f>
        <v>4</v>
      </c>
      <c r="U34" s="80" t="str">
        <f>REPLACE(INDEX(GroupVertices[Group],MATCH(Edges[[#This Row],[Vertex 2]],GroupVertices[Vertex],0)),1,1,"")</f>
        <v>4</v>
      </c>
      <c r="V34" s="47">
        <v>0</v>
      </c>
      <c r="W34" s="48">
        <v>0</v>
      </c>
      <c r="X34" s="47">
        <v>0</v>
      </c>
      <c r="Y34" s="48">
        <v>0</v>
      </c>
      <c r="Z34" s="47">
        <v>0</v>
      </c>
      <c r="AA34" s="48">
        <v>0</v>
      </c>
      <c r="AB34" s="47">
        <v>10</v>
      </c>
      <c r="AC34" s="48">
        <v>71.42857142857143</v>
      </c>
      <c r="AD34" s="47">
        <v>14</v>
      </c>
    </row>
    <row r="35" spans="1:30" ht="45">
      <c r="A35" s="79" t="s">
        <v>240</v>
      </c>
      <c r="B35" s="79" t="s">
        <v>239</v>
      </c>
      <c r="C35" s="49" t="s">
        <v>573</v>
      </c>
      <c r="D35" s="50">
        <v>3</v>
      </c>
      <c r="E35" s="62"/>
      <c r="F35" s="51">
        <v>70</v>
      </c>
      <c r="G35" s="49"/>
      <c r="H35" s="53"/>
      <c r="I35" s="52"/>
      <c r="J35" s="52"/>
      <c r="K35" s="32" t="s">
        <v>65</v>
      </c>
      <c r="L35" s="78">
        <v>35</v>
      </c>
      <c r="M35" s="78"/>
      <c r="N35" s="59"/>
      <c r="O35" s="81" t="s">
        <v>252</v>
      </c>
      <c r="P35" s="81">
        <v>1</v>
      </c>
      <c r="Q35" s="81" t="s">
        <v>253</v>
      </c>
      <c r="R35" s="81" t="s">
        <v>281</v>
      </c>
      <c r="S35" s="81">
        <v>9585</v>
      </c>
      <c r="T35" s="80" t="str">
        <f>REPLACE(INDEX(GroupVertices[Group],MATCH(Edges[[#This Row],[Vertex 1]],GroupVertices[Vertex],0)),1,1,"")</f>
        <v>4</v>
      </c>
      <c r="U35" s="80" t="str">
        <f>REPLACE(INDEX(GroupVertices[Group],MATCH(Edges[[#This Row],[Vertex 2]],GroupVertices[Vertex],0)),1,1,"")</f>
        <v>4</v>
      </c>
      <c r="V35" s="47">
        <v>0</v>
      </c>
      <c r="W35" s="48">
        <v>0</v>
      </c>
      <c r="X35" s="47">
        <v>0</v>
      </c>
      <c r="Y35" s="48">
        <v>0</v>
      </c>
      <c r="Z35" s="47">
        <v>0</v>
      </c>
      <c r="AA35" s="48">
        <v>0</v>
      </c>
      <c r="AB35" s="47">
        <v>3</v>
      </c>
      <c r="AC35" s="48">
        <v>33.333333333333336</v>
      </c>
      <c r="AD35" s="47">
        <v>9</v>
      </c>
    </row>
    <row r="36" spans="1:30" ht="45">
      <c r="A36" s="79" t="s">
        <v>241</v>
      </c>
      <c r="B36" s="79" t="s">
        <v>240</v>
      </c>
      <c r="C36" s="49" t="s">
        <v>573</v>
      </c>
      <c r="D36" s="50">
        <v>3</v>
      </c>
      <c r="E36" s="62"/>
      <c r="F36" s="51">
        <v>70</v>
      </c>
      <c r="G36" s="49"/>
      <c r="H36" s="53"/>
      <c r="I36" s="52"/>
      <c r="J36" s="52"/>
      <c r="K36" s="32" t="s">
        <v>65</v>
      </c>
      <c r="L36" s="78">
        <v>36</v>
      </c>
      <c r="M36" s="78"/>
      <c r="N36" s="59"/>
      <c r="O36" s="81" t="s">
        <v>252</v>
      </c>
      <c r="P36" s="81">
        <v>1</v>
      </c>
      <c r="Q36" s="81" t="s">
        <v>253</v>
      </c>
      <c r="R36" s="81" t="s">
        <v>282</v>
      </c>
      <c r="S36" s="81">
        <v>9733</v>
      </c>
      <c r="T36" s="80" t="str">
        <f>REPLACE(INDEX(GroupVertices[Group],MATCH(Edges[[#This Row],[Vertex 1]],GroupVertices[Vertex],0)),1,1,"")</f>
        <v>4</v>
      </c>
      <c r="U36" s="80" t="str">
        <f>REPLACE(INDEX(GroupVertices[Group],MATCH(Edges[[#This Row],[Vertex 2]],GroupVertices[Vertex],0)),1,1,"")</f>
        <v>4</v>
      </c>
      <c r="V36" s="47">
        <v>0</v>
      </c>
      <c r="W36" s="48">
        <v>0</v>
      </c>
      <c r="X36" s="47">
        <v>0</v>
      </c>
      <c r="Y36" s="48">
        <v>0</v>
      </c>
      <c r="Z36" s="47">
        <v>0</v>
      </c>
      <c r="AA36" s="48">
        <v>0</v>
      </c>
      <c r="AB36" s="47">
        <v>1</v>
      </c>
      <c r="AC36" s="48">
        <v>33.333333333333336</v>
      </c>
      <c r="AD36" s="47">
        <v>3</v>
      </c>
    </row>
    <row r="37" spans="1:30" ht="45">
      <c r="A37" s="79" t="s">
        <v>234</v>
      </c>
      <c r="B37" s="79" t="s">
        <v>241</v>
      </c>
      <c r="C37" s="49" t="s">
        <v>573</v>
      </c>
      <c r="D37" s="50">
        <v>3</v>
      </c>
      <c r="E37" s="62"/>
      <c r="F37" s="51">
        <v>70</v>
      </c>
      <c r="G37" s="49"/>
      <c r="H37" s="53"/>
      <c r="I37" s="52"/>
      <c r="J37" s="52"/>
      <c r="K37" s="32" t="s">
        <v>65</v>
      </c>
      <c r="L37" s="78">
        <v>37</v>
      </c>
      <c r="M37" s="78"/>
      <c r="N37" s="59"/>
      <c r="O37" s="81" t="s">
        <v>252</v>
      </c>
      <c r="P37" s="81">
        <v>1</v>
      </c>
      <c r="Q37" s="81" t="s">
        <v>253</v>
      </c>
      <c r="R37" s="81" t="s">
        <v>283</v>
      </c>
      <c r="S37" s="81">
        <v>9414</v>
      </c>
      <c r="T37" s="80" t="str">
        <f>REPLACE(INDEX(GroupVertices[Group],MATCH(Edges[[#This Row],[Vertex 1]],GroupVertices[Vertex],0)),1,1,"")</f>
        <v>4</v>
      </c>
      <c r="U37" s="80" t="str">
        <f>REPLACE(INDEX(GroupVertices[Group],MATCH(Edges[[#This Row],[Vertex 2]],GroupVertices[Vertex],0)),1,1,"")</f>
        <v>4</v>
      </c>
      <c r="V37" s="47">
        <v>1</v>
      </c>
      <c r="W37" s="48">
        <v>8.333333333333334</v>
      </c>
      <c r="X37" s="47">
        <v>0</v>
      </c>
      <c r="Y37" s="48">
        <v>0</v>
      </c>
      <c r="Z37" s="47">
        <v>0</v>
      </c>
      <c r="AA37" s="48">
        <v>0</v>
      </c>
      <c r="AB37" s="47">
        <v>6</v>
      </c>
      <c r="AC37" s="48">
        <v>50</v>
      </c>
      <c r="AD37" s="47">
        <v>12</v>
      </c>
    </row>
    <row r="38" spans="1:30" ht="45">
      <c r="A38" s="79" t="s">
        <v>242</v>
      </c>
      <c r="B38" s="79" t="s">
        <v>234</v>
      </c>
      <c r="C38" s="49" t="s">
        <v>573</v>
      </c>
      <c r="D38" s="50">
        <v>3</v>
      </c>
      <c r="E38" s="62"/>
      <c r="F38" s="51">
        <v>70</v>
      </c>
      <c r="G38" s="49"/>
      <c r="H38" s="53"/>
      <c r="I38" s="52"/>
      <c r="J38" s="52"/>
      <c r="K38" s="32" t="s">
        <v>66</v>
      </c>
      <c r="L38" s="78">
        <v>38</v>
      </c>
      <c r="M38" s="78"/>
      <c r="N38" s="59"/>
      <c r="O38" s="81" t="s">
        <v>252</v>
      </c>
      <c r="P38" s="81">
        <v>1</v>
      </c>
      <c r="Q38" s="81" t="s">
        <v>253</v>
      </c>
      <c r="R38" s="81" t="s">
        <v>284</v>
      </c>
      <c r="S38" s="81">
        <v>9561</v>
      </c>
      <c r="T38" s="80" t="str">
        <f>REPLACE(INDEX(GroupVertices[Group],MATCH(Edges[[#This Row],[Vertex 1]],GroupVertices[Vertex],0)),1,1,"")</f>
        <v>4</v>
      </c>
      <c r="U38" s="80" t="str">
        <f>REPLACE(INDEX(GroupVertices[Group],MATCH(Edges[[#This Row],[Vertex 2]],GroupVertices[Vertex],0)),1,1,"")</f>
        <v>4</v>
      </c>
      <c r="V38" s="47">
        <v>0</v>
      </c>
      <c r="W38" s="48">
        <v>0</v>
      </c>
      <c r="X38" s="47">
        <v>0</v>
      </c>
      <c r="Y38" s="48">
        <v>0</v>
      </c>
      <c r="Z38" s="47">
        <v>0</v>
      </c>
      <c r="AA38" s="48">
        <v>0</v>
      </c>
      <c r="AB38" s="47">
        <v>1</v>
      </c>
      <c r="AC38" s="48">
        <v>33.333333333333336</v>
      </c>
      <c r="AD38" s="47">
        <v>3</v>
      </c>
    </row>
    <row r="39" spans="1:30" ht="45">
      <c r="A39" s="79" t="s">
        <v>234</v>
      </c>
      <c r="B39" s="79" t="s">
        <v>242</v>
      </c>
      <c r="C39" s="49" t="s">
        <v>573</v>
      </c>
      <c r="D39" s="50">
        <v>3</v>
      </c>
      <c r="E39" s="62"/>
      <c r="F39" s="51">
        <v>70</v>
      </c>
      <c r="G39" s="49"/>
      <c r="H39" s="53"/>
      <c r="I39" s="52"/>
      <c r="J39" s="52"/>
      <c r="K39" s="32" t="s">
        <v>66</v>
      </c>
      <c r="L39" s="78">
        <v>39</v>
      </c>
      <c r="M39" s="78"/>
      <c r="N39" s="59"/>
      <c r="O39" s="81" t="s">
        <v>252</v>
      </c>
      <c r="P39" s="81">
        <v>1</v>
      </c>
      <c r="Q39" s="81" t="s">
        <v>253</v>
      </c>
      <c r="R39" s="81" t="s">
        <v>285</v>
      </c>
      <c r="S39" s="81">
        <v>9414</v>
      </c>
      <c r="T39" s="80" t="str">
        <f>REPLACE(INDEX(GroupVertices[Group],MATCH(Edges[[#This Row],[Vertex 1]],GroupVertices[Vertex],0)),1,1,"")</f>
        <v>4</v>
      </c>
      <c r="U39" s="80" t="str">
        <f>REPLACE(INDEX(GroupVertices[Group],MATCH(Edges[[#This Row],[Vertex 2]],GroupVertices[Vertex],0)),1,1,"")</f>
        <v>4</v>
      </c>
      <c r="V39" s="47">
        <v>0</v>
      </c>
      <c r="W39" s="48">
        <v>0</v>
      </c>
      <c r="X39" s="47">
        <v>0</v>
      </c>
      <c r="Y39" s="48">
        <v>0</v>
      </c>
      <c r="Z39" s="47">
        <v>0</v>
      </c>
      <c r="AA39" s="48">
        <v>0</v>
      </c>
      <c r="AB39" s="47">
        <v>16</v>
      </c>
      <c r="AC39" s="48">
        <v>61.53846153846154</v>
      </c>
      <c r="AD39" s="47">
        <v>26</v>
      </c>
    </row>
    <row r="40" spans="1:30" ht="45">
      <c r="A40" s="79" t="s">
        <v>243</v>
      </c>
      <c r="B40" s="79" t="s">
        <v>234</v>
      </c>
      <c r="C40" s="49" t="s">
        <v>573</v>
      </c>
      <c r="D40" s="50">
        <v>3</v>
      </c>
      <c r="E40" s="62"/>
      <c r="F40" s="51">
        <v>70</v>
      </c>
      <c r="G40" s="49"/>
      <c r="H40" s="53"/>
      <c r="I40" s="52"/>
      <c r="J40" s="52"/>
      <c r="K40" s="32" t="s">
        <v>65</v>
      </c>
      <c r="L40" s="78">
        <v>40</v>
      </c>
      <c r="M40" s="78"/>
      <c r="N40" s="59"/>
      <c r="O40" s="81" t="s">
        <v>252</v>
      </c>
      <c r="P40" s="81">
        <v>1</v>
      </c>
      <c r="Q40" s="81" t="s">
        <v>253</v>
      </c>
      <c r="R40" s="81" t="s">
        <v>286</v>
      </c>
      <c r="S40" s="81">
        <v>9569</v>
      </c>
      <c r="T40" s="80" t="str">
        <f>REPLACE(INDEX(GroupVertices[Group],MATCH(Edges[[#This Row],[Vertex 1]],GroupVertices[Vertex],0)),1,1,"")</f>
        <v>1</v>
      </c>
      <c r="U40" s="80" t="str">
        <f>REPLACE(INDEX(GroupVertices[Group],MATCH(Edges[[#This Row],[Vertex 2]],GroupVertices[Vertex],0)),1,1,"")</f>
        <v>4</v>
      </c>
      <c r="V40" s="47">
        <v>0</v>
      </c>
      <c r="W40" s="48">
        <v>0</v>
      </c>
      <c r="X40" s="47">
        <v>0</v>
      </c>
      <c r="Y40" s="48">
        <v>0</v>
      </c>
      <c r="Z40" s="47">
        <v>0</v>
      </c>
      <c r="AA40" s="48">
        <v>0</v>
      </c>
      <c r="AB40" s="47">
        <v>2</v>
      </c>
      <c r="AC40" s="48">
        <v>50</v>
      </c>
      <c r="AD40" s="47">
        <v>4</v>
      </c>
    </row>
    <row r="41" spans="1:30" ht="30">
      <c r="A41" s="79" t="s">
        <v>243</v>
      </c>
      <c r="B41" s="79" t="s">
        <v>243</v>
      </c>
      <c r="C41" s="49" t="s">
        <v>574</v>
      </c>
      <c r="D41" s="50">
        <v>3</v>
      </c>
      <c r="E41" s="62"/>
      <c r="F41" s="51">
        <v>70</v>
      </c>
      <c r="G41" s="49"/>
      <c r="H41" s="53"/>
      <c r="I41" s="52"/>
      <c r="J41" s="52"/>
      <c r="K41" s="32" t="s">
        <v>65</v>
      </c>
      <c r="L41" s="78">
        <v>41</v>
      </c>
      <c r="M41" s="78"/>
      <c r="N41" s="59"/>
      <c r="O41" s="81" t="s">
        <v>252</v>
      </c>
      <c r="P41" s="81">
        <v>2</v>
      </c>
      <c r="Q41" s="81" t="s">
        <v>253</v>
      </c>
      <c r="R41" s="81" t="s">
        <v>287</v>
      </c>
      <c r="S41" s="81">
        <v>9828</v>
      </c>
      <c r="T41" s="80" t="str">
        <f>REPLACE(INDEX(GroupVertices[Group],MATCH(Edges[[#This Row],[Vertex 1]],GroupVertices[Vertex],0)),1,1,"")</f>
        <v>1</v>
      </c>
      <c r="U41" s="80" t="str">
        <f>REPLACE(INDEX(GroupVertices[Group],MATCH(Edges[[#This Row],[Vertex 2]],GroupVertices[Vertex],0)),1,1,"")</f>
        <v>1</v>
      </c>
      <c r="V41" s="47">
        <v>0</v>
      </c>
      <c r="W41" s="48">
        <v>0</v>
      </c>
      <c r="X41" s="47">
        <v>0</v>
      </c>
      <c r="Y41" s="48">
        <v>0</v>
      </c>
      <c r="Z41" s="47">
        <v>0</v>
      </c>
      <c r="AA41" s="48">
        <v>0</v>
      </c>
      <c r="AB41" s="47">
        <v>2</v>
      </c>
      <c r="AC41" s="48">
        <v>66.66666666666667</v>
      </c>
      <c r="AD41" s="47">
        <v>3</v>
      </c>
    </row>
    <row r="42" spans="1:30" ht="45">
      <c r="A42" s="79" t="s">
        <v>244</v>
      </c>
      <c r="B42" s="79" t="s">
        <v>243</v>
      </c>
      <c r="C42" s="49" t="s">
        <v>573</v>
      </c>
      <c r="D42" s="50">
        <v>3</v>
      </c>
      <c r="E42" s="62"/>
      <c r="F42" s="51">
        <v>70</v>
      </c>
      <c r="G42" s="49"/>
      <c r="H42" s="53"/>
      <c r="I42" s="52"/>
      <c r="J42" s="52"/>
      <c r="K42" s="32" t="s">
        <v>65</v>
      </c>
      <c r="L42" s="78">
        <v>42</v>
      </c>
      <c r="M42" s="78"/>
      <c r="N42" s="59"/>
      <c r="O42" s="81" t="s">
        <v>252</v>
      </c>
      <c r="P42" s="81">
        <v>1</v>
      </c>
      <c r="Q42" s="81" t="s">
        <v>253</v>
      </c>
      <c r="R42" s="81" t="s">
        <v>288</v>
      </c>
      <c r="S42" s="81">
        <v>9414</v>
      </c>
      <c r="T42" s="80" t="str">
        <f>REPLACE(INDEX(GroupVertices[Group],MATCH(Edges[[#This Row],[Vertex 1]],GroupVertices[Vertex],0)),1,1,"")</f>
        <v>1</v>
      </c>
      <c r="U42" s="80" t="str">
        <f>REPLACE(INDEX(GroupVertices[Group],MATCH(Edges[[#This Row],[Vertex 2]],GroupVertices[Vertex],0)),1,1,"")</f>
        <v>1</v>
      </c>
      <c r="V42" s="47">
        <v>0</v>
      </c>
      <c r="W42" s="48">
        <v>0</v>
      </c>
      <c r="X42" s="47">
        <v>0</v>
      </c>
      <c r="Y42" s="48">
        <v>0</v>
      </c>
      <c r="Z42" s="47">
        <v>0</v>
      </c>
      <c r="AA42" s="48">
        <v>0</v>
      </c>
      <c r="AB42" s="47">
        <v>7</v>
      </c>
      <c r="AC42" s="48">
        <v>41.1764705882353</v>
      </c>
      <c r="AD42" s="47">
        <v>17</v>
      </c>
    </row>
    <row r="43" spans="1:30" ht="45">
      <c r="A43" s="79" t="s">
        <v>245</v>
      </c>
      <c r="B43" s="79" t="s">
        <v>244</v>
      </c>
      <c r="C43" s="49" t="s">
        <v>573</v>
      </c>
      <c r="D43" s="50">
        <v>3</v>
      </c>
      <c r="E43" s="62"/>
      <c r="F43" s="51">
        <v>70</v>
      </c>
      <c r="G43" s="49"/>
      <c r="H43" s="53"/>
      <c r="I43" s="52"/>
      <c r="J43" s="52"/>
      <c r="K43" s="32" t="s">
        <v>65</v>
      </c>
      <c r="L43" s="78">
        <v>43</v>
      </c>
      <c r="M43" s="78"/>
      <c r="N43" s="59"/>
      <c r="O43" s="81" t="s">
        <v>252</v>
      </c>
      <c r="P43" s="81">
        <v>1</v>
      </c>
      <c r="Q43" s="81" t="s">
        <v>253</v>
      </c>
      <c r="R43" s="81"/>
      <c r="S43" s="81">
        <v>9416</v>
      </c>
      <c r="T43" s="80" t="str">
        <f>REPLACE(INDEX(GroupVertices[Group],MATCH(Edges[[#This Row],[Vertex 1]],GroupVertices[Vertex],0)),1,1,"")</f>
        <v>1</v>
      </c>
      <c r="U43" s="80" t="str">
        <f>REPLACE(INDEX(GroupVertices[Group],MATCH(Edges[[#This Row],[Vertex 2]],GroupVertices[Vertex],0)),1,1,"")</f>
        <v>1</v>
      </c>
      <c r="V43" s="47"/>
      <c r="W43" s="48"/>
      <c r="X43" s="47"/>
      <c r="Y43" s="48"/>
      <c r="Z43" s="47"/>
      <c r="AA43" s="48"/>
      <c r="AB43" s="47"/>
      <c r="AC43" s="48"/>
      <c r="AD43" s="47"/>
    </row>
    <row r="44" spans="1:30" ht="45">
      <c r="A44" s="79" t="s">
        <v>246</v>
      </c>
      <c r="B44" s="79" t="s">
        <v>245</v>
      </c>
      <c r="C44" s="49" t="s">
        <v>573</v>
      </c>
      <c r="D44" s="50">
        <v>3</v>
      </c>
      <c r="E44" s="62"/>
      <c r="F44" s="51">
        <v>70</v>
      </c>
      <c r="G44" s="49"/>
      <c r="H44" s="53"/>
      <c r="I44" s="52"/>
      <c r="J44" s="52"/>
      <c r="K44" s="32" t="s">
        <v>65</v>
      </c>
      <c r="L44" s="78">
        <v>44</v>
      </c>
      <c r="M44" s="78"/>
      <c r="N44" s="59"/>
      <c r="O44" s="81" t="s">
        <v>252</v>
      </c>
      <c r="P44" s="81">
        <v>1</v>
      </c>
      <c r="Q44" s="81" t="s">
        <v>253</v>
      </c>
      <c r="R44" s="81"/>
      <c r="S44" s="81">
        <v>9299</v>
      </c>
      <c r="T44" s="80" t="str">
        <f>REPLACE(INDEX(GroupVertices[Group],MATCH(Edges[[#This Row],[Vertex 1]],GroupVertices[Vertex],0)),1,1,"")</f>
        <v>1</v>
      </c>
      <c r="U44" s="80" t="str">
        <f>REPLACE(INDEX(GroupVertices[Group],MATCH(Edges[[#This Row],[Vertex 2]],GroupVertices[Vertex],0)),1,1,"")</f>
        <v>1</v>
      </c>
      <c r="V44" s="47"/>
      <c r="W44" s="48"/>
      <c r="X44" s="47"/>
      <c r="Y44" s="48"/>
      <c r="Z44" s="47"/>
      <c r="AA44" s="48"/>
      <c r="AB44" s="47"/>
      <c r="AC44" s="48"/>
      <c r="AD44" s="47"/>
    </row>
    <row r="45" spans="1:30" ht="45">
      <c r="A45" s="79" t="s">
        <v>247</v>
      </c>
      <c r="B45" s="79" t="s">
        <v>246</v>
      </c>
      <c r="C45" s="49" t="s">
        <v>573</v>
      </c>
      <c r="D45" s="50">
        <v>3</v>
      </c>
      <c r="E45" s="62"/>
      <c r="F45" s="51">
        <v>70</v>
      </c>
      <c r="G45" s="49"/>
      <c r="H45" s="53"/>
      <c r="I45" s="52"/>
      <c r="J45" s="52"/>
      <c r="K45" s="32" t="s">
        <v>65</v>
      </c>
      <c r="L45" s="78">
        <v>45</v>
      </c>
      <c r="M45" s="78"/>
      <c r="N45" s="59"/>
      <c r="O45" s="81" t="s">
        <v>252</v>
      </c>
      <c r="P45" s="81">
        <v>1</v>
      </c>
      <c r="Q45" s="81" t="s">
        <v>253</v>
      </c>
      <c r="R45" s="81" t="s">
        <v>289</v>
      </c>
      <c r="S45" s="81">
        <v>9416</v>
      </c>
      <c r="T45" s="80" t="str">
        <f>REPLACE(INDEX(GroupVertices[Group],MATCH(Edges[[#This Row],[Vertex 1]],GroupVertices[Vertex],0)),1,1,"")</f>
        <v>1</v>
      </c>
      <c r="U45" s="80" t="str">
        <f>REPLACE(INDEX(GroupVertices[Group],MATCH(Edges[[#This Row],[Vertex 2]],GroupVertices[Vertex],0)),1,1,"")</f>
        <v>1</v>
      </c>
      <c r="V45" s="47">
        <v>1</v>
      </c>
      <c r="W45" s="48">
        <v>7.142857142857143</v>
      </c>
      <c r="X45" s="47">
        <v>0</v>
      </c>
      <c r="Y45" s="48">
        <v>0</v>
      </c>
      <c r="Z45" s="47">
        <v>0</v>
      </c>
      <c r="AA45" s="48">
        <v>0</v>
      </c>
      <c r="AB45" s="47">
        <v>7</v>
      </c>
      <c r="AC45" s="48">
        <v>50</v>
      </c>
      <c r="AD45" s="47">
        <v>14</v>
      </c>
    </row>
    <row r="46" spans="1:30" ht="45">
      <c r="A46" s="79" t="s">
        <v>248</v>
      </c>
      <c r="B46" s="79" t="s">
        <v>247</v>
      </c>
      <c r="C46" s="49" t="s">
        <v>573</v>
      </c>
      <c r="D46" s="50">
        <v>3</v>
      </c>
      <c r="E46" s="62"/>
      <c r="F46" s="51">
        <v>70</v>
      </c>
      <c r="G46" s="49"/>
      <c r="H46" s="53"/>
      <c r="I46" s="52"/>
      <c r="J46" s="52"/>
      <c r="K46" s="32" t="s">
        <v>65</v>
      </c>
      <c r="L46" s="78">
        <v>46</v>
      </c>
      <c r="M46" s="78"/>
      <c r="N46" s="59"/>
      <c r="O46" s="81" t="s">
        <v>252</v>
      </c>
      <c r="P46" s="81">
        <v>1</v>
      </c>
      <c r="Q46" s="81" t="s">
        <v>253</v>
      </c>
      <c r="R46" s="81" t="s">
        <v>290</v>
      </c>
      <c r="S46" s="81">
        <v>9601</v>
      </c>
      <c r="T46" s="80" t="str">
        <f>REPLACE(INDEX(GroupVertices[Group],MATCH(Edges[[#This Row],[Vertex 1]],GroupVertices[Vertex],0)),1,1,"")</f>
        <v>1</v>
      </c>
      <c r="U46" s="80" t="str">
        <f>REPLACE(INDEX(GroupVertices[Group],MATCH(Edges[[#This Row],[Vertex 2]],GroupVertices[Vertex],0)),1,1,"")</f>
        <v>1</v>
      </c>
      <c r="V46" s="47">
        <v>0</v>
      </c>
      <c r="W46" s="48">
        <v>0</v>
      </c>
      <c r="X46" s="47">
        <v>0</v>
      </c>
      <c r="Y46" s="48">
        <v>0</v>
      </c>
      <c r="Z46" s="47">
        <v>0</v>
      </c>
      <c r="AA46" s="48">
        <v>0</v>
      </c>
      <c r="AB46" s="47">
        <v>1</v>
      </c>
      <c r="AC46" s="48">
        <v>33.333333333333336</v>
      </c>
      <c r="AD46" s="47">
        <v>3</v>
      </c>
    </row>
    <row r="47" spans="1:30" ht="45">
      <c r="A47" s="79" t="s">
        <v>244</v>
      </c>
      <c r="B47" s="79" t="s">
        <v>248</v>
      </c>
      <c r="C47" s="49" t="s">
        <v>573</v>
      </c>
      <c r="D47" s="50">
        <v>3</v>
      </c>
      <c r="E47" s="62"/>
      <c r="F47" s="51">
        <v>70</v>
      </c>
      <c r="G47" s="49"/>
      <c r="H47" s="53"/>
      <c r="I47" s="52"/>
      <c r="J47" s="52"/>
      <c r="K47" s="32" t="s">
        <v>65</v>
      </c>
      <c r="L47" s="78">
        <v>47</v>
      </c>
      <c r="M47" s="78"/>
      <c r="N47" s="59"/>
      <c r="O47" s="81" t="s">
        <v>252</v>
      </c>
      <c r="P47" s="81">
        <v>1</v>
      </c>
      <c r="Q47" s="81" t="s">
        <v>253</v>
      </c>
      <c r="R47" s="81" t="s">
        <v>291</v>
      </c>
      <c r="S47" s="81">
        <v>9416</v>
      </c>
      <c r="T47" s="80" t="str">
        <f>REPLACE(INDEX(GroupVertices[Group],MATCH(Edges[[#This Row],[Vertex 1]],GroupVertices[Vertex],0)),1,1,"")</f>
        <v>1</v>
      </c>
      <c r="U47" s="80" t="str">
        <f>REPLACE(INDEX(GroupVertices[Group],MATCH(Edges[[#This Row],[Vertex 2]],GroupVertices[Vertex],0)),1,1,"")</f>
        <v>1</v>
      </c>
      <c r="V47" s="47">
        <v>0</v>
      </c>
      <c r="W47" s="48">
        <v>0</v>
      </c>
      <c r="X47" s="47">
        <v>0</v>
      </c>
      <c r="Y47" s="48">
        <v>0</v>
      </c>
      <c r="Z47" s="47">
        <v>0</v>
      </c>
      <c r="AA47" s="48">
        <v>0</v>
      </c>
      <c r="AB47" s="47">
        <v>15</v>
      </c>
      <c r="AC47" s="48">
        <v>65.21739130434783</v>
      </c>
      <c r="AD47" s="47">
        <v>23</v>
      </c>
    </row>
    <row r="48" spans="1:30" ht="45">
      <c r="A48" s="79" t="s">
        <v>249</v>
      </c>
      <c r="B48" s="79" t="s">
        <v>244</v>
      </c>
      <c r="C48" s="49" t="s">
        <v>573</v>
      </c>
      <c r="D48" s="50">
        <v>3</v>
      </c>
      <c r="E48" s="62"/>
      <c r="F48" s="51">
        <v>70</v>
      </c>
      <c r="G48" s="49"/>
      <c r="H48" s="53"/>
      <c r="I48" s="52"/>
      <c r="J48" s="52"/>
      <c r="K48" s="32" t="s">
        <v>65</v>
      </c>
      <c r="L48" s="78">
        <v>48</v>
      </c>
      <c r="M48" s="78"/>
      <c r="N48" s="59"/>
      <c r="O48" s="81" t="s">
        <v>252</v>
      </c>
      <c r="P48" s="81">
        <v>1</v>
      </c>
      <c r="Q48" s="81" t="s">
        <v>253</v>
      </c>
      <c r="R48" s="81" t="s">
        <v>292</v>
      </c>
      <c r="S48" s="81">
        <v>10149</v>
      </c>
      <c r="T48" s="80" t="str">
        <f>REPLACE(INDEX(GroupVertices[Group],MATCH(Edges[[#This Row],[Vertex 1]],GroupVertices[Vertex],0)),1,1,"")</f>
        <v>1</v>
      </c>
      <c r="U48" s="80" t="str">
        <f>REPLACE(INDEX(GroupVertices[Group],MATCH(Edges[[#This Row],[Vertex 2]],GroupVertices[Vertex],0)),1,1,"")</f>
        <v>1</v>
      </c>
      <c r="V48" s="47">
        <v>0</v>
      </c>
      <c r="W48" s="48">
        <v>0</v>
      </c>
      <c r="X48" s="47">
        <v>0</v>
      </c>
      <c r="Y48" s="48">
        <v>0</v>
      </c>
      <c r="Z48" s="47">
        <v>0</v>
      </c>
      <c r="AA48" s="48">
        <v>0</v>
      </c>
      <c r="AB48" s="47">
        <v>2</v>
      </c>
      <c r="AC48" s="48">
        <v>50</v>
      </c>
      <c r="AD48" s="47">
        <v>4</v>
      </c>
    </row>
    <row r="49" spans="1:30" ht="45">
      <c r="A49" s="79" t="s">
        <v>249</v>
      </c>
      <c r="B49" s="79" t="s">
        <v>249</v>
      </c>
      <c r="C49" s="49" t="s">
        <v>573</v>
      </c>
      <c r="D49" s="50">
        <v>3</v>
      </c>
      <c r="E49" s="62"/>
      <c r="F49" s="51">
        <v>70</v>
      </c>
      <c r="G49" s="49"/>
      <c r="H49" s="53"/>
      <c r="I49" s="52"/>
      <c r="J49" s="52"/>
      <c r="K49" s="32" t="s">
        <v>65</v>
      </c>
      <c r="L49" s="78">
        <v>49</v>
      </c>
      <c r="M49" s="78"/>
      <c r="N49" s="59"/>
      <c r="O49" s="81" t="s">
        <v>252</v>
      </c>
      <c r="P49" s="81">
        <v>1</v>
      </c>
      <c r="Q49" s="81" t="s">
        <v>253</v>
      </c>
      <c r="R49" s="81" t="s">
        <v>293</v>
      </c>
      <c r="S49" s="81">
        <v>10343</v>
      </c>
      <c r="T49" s="80" t="str">
        <f>REPLACE(INDEX(GroupVertices[Group],MATCH(Edges[[#This Row],[Vertex 1]],GroupVertices[Vertex],0)),1,1,"")</f>
        <v>1</v>
      </c>
      <c r="U49" s="80" t="str">
        <f>REPLACE(INDEX(GroupVertices[Group],MATCH(Edges[[#This Row],[Vertex 2]],GroupVertices[Vertex],0)),1,1,"")</f>
        <v>1</v>
      </c>
      <c r="V49" s="47">
        <v>0</v>
      </c>
      <c r="W49" s="48">
        <v>0</v>
      </c>
      <c r="X49" s="47">
        <v>0</v>
      </c>
      <c r="Y49" s="48">
        <v>0</v>
      </c>
      <c r="Z49" s="47">
        <v>0</v>
      </c>
      <c r="AA49" s="48">
        <v>0</v>
      </c>
      <c r="AB49" s="47">
        <v>2</v>
      </c>
      <c r="AC49" s="48">
        <v>66.66666666666667</v>
      </c>
      <c r="AD49" s="47">
        <v>3</v>
      </c>
    </row>
    <row r="50" spans="1:30" ht="45">
      <c r="A50" s="79" t="s">
        <v>250</v>
      </c>
      <c r="B50" s="79" t="s">
        <v>249</v>
      </c>
      <c r="C50" s="49" t="s">
        <v>573</v>
      </c>
      <c r="D50" s="50">
        <v>3</v>
      </c>
      <c r="E50" s="62"/>
      <c r="F50" s="51">
        <v>70</v>
      </c>
      <c r="G50" s="49"/>
      <c r="H50" s="53"/>
      <c r="I50" s="52"/>
      <c r="J50" s="52"/>
      <c r="K50" s="32" t="s">
        <v>65</v>
      </c>
      <c r="L50" s="78">
        <v>50</v>
      </c>
      <c r="M50" s="78"/>
      <c r="N50" s="59"/>
      <c r="O50" s="81" t="s">
        <v>252</v>
      </c>
      <c r="P50" s="81">
        <v>1</v>
      </c>
      <c r="Q50" s="81" t="s">
        <v>253</v>
      </c>
      <c r="R50" s="81" t="s">
        <v>294</v>
      </c>
      <c r="S50" s="81">
        <v>9416</v>
      </c>
      <c r="T50" s="80" t="str">
        <f>REPLACE(INDEX(GroupVertices[Group],MATCH(Edges[[#This Row],[Vertex 1]],GroupVertices[Vertex],0)),1,1,"")</f>
        <v>1</v>
      </c>
      <c r="U50" s="80" t="str">
        <f>REPLACE(INDEX(GroupVertices[Group],MATCH(Edges[[#This Row],[Vertex 2]],GroupVertices[Vertex],0)),1,1,"")</f>
        <v>1</v>
      </c>
      <c r="V50" s="47">
        <v>0</v>
      </c>
      <c r="W50" s="48">
        <v>0</v>
      </c>
      <c r="X50" s="47">
        <v>0</v>
      </c>
      <c r="Y50" s="48">
        <v>0</v>
      </c>
      <c r="Z50" s="47">
        <v>0</v>
      </c>
      <c r="AA50" s="48">
        <v>0</v>
      </c>
      <c r="AB50" s="47">
        <v>6</v>
      </c>
      <c r="AC50" s="48">
        <v>46.15384615384615</v>
      </c>
      <c r="AD50" s="47">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46C4B-C0E1-4915-9596-CF9577CFEF18}">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417</v>
      </c>
      <c r="B2" s="116" t="s">
        <v>418</v>
      </c>
      <c r="C2" s="64" t="s">
        <v>419</v>
      </c>
    </row>
    <row r="3" spans="1:3" ht="15">
      <c r="A3" s="115" t="s">
        <v>310</v>
      </c>
      <c r="B3" s="115" t="s">
        <v>310</v>
      </c>
      <c r="C3" s="32">
        <v>10</v>
      </c>
    </row>
    <row r="4" spans="1:3" ht="15">
      <c r="A4" s="115" t="s">
        <v>310</v>
      </c>
      <c r="B4" s="115" t="s">
        <v>313</v>
      </c>
      <c r="C4" s="32">
        <v>1</v>
      </c>
    </row>
    <row r="5" spans="1:3" ht="15">
      <c r="A5" s="115" t="s">
        <v>311</v>
      </c>
      <c r="B5" s="115" t="s">
        <v>311</v>
      </c>
      <c r="C5" s="32">
        <v>8</v>
      </c>
    </row>
    <row r="6" spans="1:3" ht="15">
      <c r="A6" s="115" t="s">
        <v>311</v>
      </c>
      <c r="B6" s="115" t="s">
        <v>312</v>
      </c>
      <c r="C6" s="32">
        <v>1</v>
      </c>
    </row>
    <row r="7" spans="1:3" ht="15">
      <c r="A7" s="115" t="s">
        <v>311</v>
      </c>
      <c r="B7" s="115" t="s">
        <v>314</v>
      </c>
      <c r="C7" s="32">
        <v>1</v>
      </c>
    </row>
    <row r="8" spans="1:3" ht="15">
      <c r="A8" s="115" t="s">
        <v>312</v>
      </c>
      <c r="B8" s="115" t="s">
        <v>311</v>
      </c>
      <c r="C8" s="32">
        <v>1</v>
      </c>
    </row>
    <row r="9" spans="1:3" ht="15">
      <c r="A9" s="115" t="s">
        <v>312</v>
      </c>
      <c r="B9" s="115" t="s">
        <v>312</v>
      </c>
      <c r="C9" s="32">
        <v>8</v>
      </c>
    </row>
    <row r="10" spans="1:3" ht="15">
      <c r="A10" s="115" t="s">
        <v>312</v>
      </c>
      <c r="B10" s="115" t="s">
        <v>313</v>
      </c>
      <c r="C10" s="32">
        <v>1</v>
      </c>
    </row>
    <row r="11" spans="1:3" ht="15">
      <c r="A11" s="115" t="s">
        <v>313</v>
      </c>
      <c r="B11" s="115" t="s">
        <v>311</v>
      </c>
      <c r="C11" s="32">
        <v>1</v>
      </c>
    </row>
    <row r="12" spans="1:3" ht="15">
      <c r="A12" s="115" t="s">
        <v>313</v>
      </c>
      <c r="B12" s="115" t="s">
        <v>312</v>
      </c>
      <c r="C12" s="32">
        <v>1</v>
      </c>
    </row>
    <row r="13" spans="1:3" ht="15">
      <c r="A13" s="115" t="s">
        <v>313</v>
      </c>
      <c r="B13" s="115" t="s">
        <v>313</v>
      </c>
      <c r="C13" s="32">
        <v>7</v>
      </c>
    </row>
    <row r="14" spans="1:3" ht="15">
      <c r="A14" s="115" t="s">
        <v>314</v>
      </c>
      <c r="B14" s="115" t="s">
        <v>312</v>
      </c>
      <c r="C14" s="32">
        <v>1</v>
      </c>
    </row>
    <row r="15" spans="1:3" ht="15">
      <c r="A15" s="115" t="s">
        <v>314</v>
      </c>
      <c r="B15" s="115" t="s">
        <v>314</v>
      </c>
      <c r="C15" s="32">
        <v>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199E2-CC82-4F46-B7C9-63791E221F6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442</v>
      </c>
      <c r="B1" s="7" t="s">
        <v>17</v>
      </c>
    </row>
    <row r="2" spans="1:2" ht="15">
      <c r="A2" s="80" t="s">
        <v>443</v>
      </c>
      <c r="B2" s="80"/>
    </row>
    <row r="3" spans="1:2" ht="15">
      <c r="A3" s="81" t="s">
        <v>444</v>
      </c>
      <c r="B3" s="80"/>
    </row>
    <row r="4" spans="1:2" ht="15">
      <c r="A4" s="81" t="s">
        <v>445</v>
      </c>
      <c r="B4" s="80"/>
    </row>
    <row r="5" spans="1:2" ht="15">
      <c r="A5" s="81" t="s">
        <v>446</v>
      </c>
      <c r="B5" s="80"/>
    </row>
    <row r="6" spans="1:2" ht="15">
      <c r="A6" s="81" t="s">
        <v>447</v>
      </c>
      <c r="B6" s="80"/>
    </row>
    <row r="7" spans="1:2" ht="15">
      <c r="A7" s="81" t="s">
        <v>303</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1C053-575B-4D84-899C-BC9283A6BB9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448</v>
      </c>
      <c r="B1" s="7" t="s">
        <v>34</v>
      </c>
    </row>
    <row r="2" spans="1:2" ht="15">
      <c r="A2" s="106" t="s">
        <v>234</v>
      </c>
      <c r="B2" s="80">
        <v>650</v>
      </c>
    </row>
    <row r="3" spans="1:2" ht="15">
      <c r="A3" s="110" t="s">
        <v>219</v>
      </c>
      <c r="B3" s="80">
        <v>505</v>
      </c>
    </row>
    <row r="4" spans="1:2" ht="15">
      <c r="A4" s="110" t="s">
        <v>243</v>
      </c>
      <c r="B4" s="80">
        <v>364</v>
      </c>
    </row>
    <row r="5" spans="1:2" ht="15">
      <c r="A5" s="110" t="s">
        <v>237</v>
      </c>
      <c r="B5" s="80">
        <v>343</v>
      </c>
    </row>
    <row r="6" spans="1:2" ht="15">
      <c r="A6" s="110" t="s">
        <v>244</v>
      </c>
      <c r="B6" s="80">
        <v>342</v>
      </c>
    </row>
    <row r="7" spans="1:2" ht="15">
      <c r="A7" s="110" t="s">
        <v>221</v>
      </c>
      <c r="B7" s="80">
        <v>187</v>
      </c>
    </row>
    <row r="8" spans="1:2" ht="15">
      <c r="A8" s="110" t="s">
        <v>233</v>
      </c>
      <c r="B8" s="80">
        <v>141</v>
      </c>
    </row>
    <row r="9" spans="1:2" ht="15">
      <c r="A9" s="110" t="s">
        <v>225</v>
      </c>
      <c r="B9" s="80">
        <v>130</v>
      </c>
    </row>
    <row r="10" spans="1:2" ht="15">
      <c r="A10" s="110" t="s">
        <v>232</v>
      </c>
      <c r="B10" s="80">
        <v>116</v>
      </c>
    </row>
    <row r="11" spans="1:2" ht="15">
      <c r="A11" s="110" t="s">
        <v>229</v>
      </c>
      <c r="B11" s="80">
        <v>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BE9B7-0B8D-4A64-8063-3F6275322FCF}">
  <dimension ref="A1:L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s>
  <sheetData>
    <row r="1" spans="1:12" ht="15" customHeight="1">
      <c r="A1" s="7" t="s">
        <v>449</v>
      </c>
      <c r="B1" s="7" t="s">
        <v>450</v>
      </c>
      <c r="C1" s="7" t="s">
        <v>451</v>
      </c>
      <c r="D1" s="7" t="s">
        <v>453</v>
      </c>
      <c r="E1" s="7" t="s">
        <v>452</v>
      </c>
      <c r="F1" s="7" t="s">
        <v>455</v>
      </c>
      <c r="G1" s="7" t="s">
        <v>454</v>
      </c>
      <c r="H1" s="7" t="s">
        <v>457</v>
      </c>
      <c r="I1" s="7" t="s">
        <v>456</v>
      </c>
      <c r="J1" s="7" t="s">
        <v>459</v>
      </c>
      <c r="K1" s="7" t="s">
        <v>458</v>
      </c>
      <c r="L1" s="7" t="s">
        <v>460</v>
      </c>
    </row>
    <row r="2" spans="1:12" ht="15">
      <c r="A2" s="109" t="s">
        <v>332</v>
      </c>
      <c r="B2" s="109">
        <v>15</v>
      </c>
      <c r="C2" s="109" t="s">
        <v>332</v>
      </c>
      <c r="D2" s="109">
        <v>4</v>
      </c>
      <c r="E2" s="109" t="s">
        <v>345</v>
      </c>
      <c r="F2" s="109">
        <v>3</v>
      </c>
      <c r="G2" s="109" t="s">
        <v>333</v>
      </c>
      <c r="H2" s="109">
        <v>4</v>
      </c>
      <c r="I2" s="109" t="s">
        <v>335</v>
      </c>
      <c r="J2" s="109">
        <v>6</v>
      </c>
      <c r="K2" s="109" t="s">
        <v>336</v>
      </c>
      <c r="L2" s="109">
        <v>9</v>
      </c>
    </row>
    <row r="3" spans="1:12" ht="15">
      <c r="A3" s="111" t="s">
        <v>333</v>
      </c>
      <c r="B3" s="109">
        <v>12</v>
      </c>
      <c r="C3" s="109" t="s">
        <v>365</v>
      </c>
      <c r="D3" s="109">
        <v>3</v>
      </c>
      <c r="E3" s="109" t="s">
        <v>342</v>
      </c>
      <c r="F3" s="109">
        <v>3</v>
      </c>
      <c r="G3" s="109" t="s">
        <v>332</v>
      </c>
      <c r="H3" s="109">
        <v>4</v>
      </c>
      <c r="I3" s="109" t="s">
        <v>334</v>
      </c>
      <c r="J3" s="109">
        <v>6</v>
      </c>
      <c r="K3" s="109" t="s">
        <v>337</v>
      </c>
      <c r="L3" s="109">
        <v>9</v>
      </c>
    </row>
    <row r="4" spans="1:12" ht="15">
      <c r="A4" s="111" t="s">
        <v>334</v>
      </c>
      <c r="B4" s="109">
        <v>9</v>
      </c>
      <c r="C4" s="109" t="s">
        <v>352</v>
      </c>
      <c r="D4" s="109">
        <v>3</v>
      </c>
      <c r="E4" s="109" t="s">
        <v>356</v>
      </c>
      <c r="F4" s="109">
        <v>2</v>
      </c>
      <c r="G4" s="109" t="s">
        <v>340</v>
      </c>
      <c r="H4" s="109">
        <v>4</v>
      </c>
      <c r="I4" s="109" t="s">
        <v>343</v>
      </c>
      <c r="J4" s="109">
        <v>5</v>
      </c>
      <c r="K4" s="109" t="s">
        <v>339</v>
      </c>
      <c r="L4" s="109">
        <v>9</v>
      </c>
    </row>
    <row r="5" spans="1:12" ht="15">
      <c r="A5" s="111" t="s">
        <v>335</v>
      </c>
      <c r="B5" s="109">
        <v>9</v>
      </c>
      <c r="C5" s="109" t="s">
        <v>335</v>
      </c>
      <c r="D5" s="109">
        <v>3</v>
      </c>
      <c r="E5" s="109"/>
      <c r="F5" s="109"/>
      <c r="G5" s="109" t="s">
        <v>377</v>
      </c>
      <c r="H5" s="109">
        <v>3</v>
      </c>
      <c r="I5" s="109" t="s">
        <v>341</v>
      </c>
      <c r="J5" s="109">
        <v>4</v>
      </c>
      <c r="K5" s="109" t="s">
        <v>338</v>
      </c>
      <c r="L5" s="109">
        <v>9</v>
      </c>
    </row>
    <row r="6" spans="1:12" ht="15">
      <c r="A6" s="111" t="s">
        <v>336</v>
      </c>
      <c r="B6" s="109">
        <v>9</v>
      </c>
      <c r="C6" s="109" t="s">
        <v>373</v>
      </c>
      <c r="D6" s="109">
        <v>3</v>
      </c>
      <c r="E6" s="109"/>
      <c r="F6" s="109"/>
      <c r="G6" s="109" t="s">
        <v>358</v>
      </c>
      <c r="H6" s="109">
        <v>3</v>
      </c>
      <c r="I6" s="109" t="s">
        <v>332</v>
      </c>
      <c r="J6" s="109">
        <v>4</v>
      </c>
      <c r="K6" s="109" t="s">
        <v>344</v>
      </c>
      <c r="L6" s="109">
        <v>4</v>
      </c>
    </row>
    <row r="7" spans="1:12" ht="15">
      <c r="A7" s="111" t="s">
        <v>337</v>
      </c>
      <c r="B7" s="109">
        <v>9</v>
      </c>
      <c r="C7" s="109" t="s">
        <v>350</v>
      </c>
      <c r="D7" s="109">
        <v>3</v>
      </c>
      <c r="E7" s="109"/>
      <c r="F7" s="109"/>
      <c r="G7" s="109" t="s">
        <v>353</v>
      </c>
      <c r="H7" s="109">
        <v>3</v>
      </c>
      <c r="I7" s="109" t="s">
        <v>359</v>
      </c>
      <c r="J7" s="109">
        <v>3</v>
      </c>
      <c r="K7" s="109" t="s">
        <v>332</v>
      </c>
      <c r="L7" s="109">
        <v>3</v>
      </c>
    </row>
    <row r="8" spans="1:12" ht="15">
      <c r="A8" s="111" t="s">
        <v>338</v>
      </c>
      <c r="B8" s="109">
        <v>9</v>
      </c>
      <c r="C8" s="109" t="s">
        <v>371</v>
      </c>
      <c r="D8" s="109">
        <v>3</v>
      </c>
      <c r="E8" s="109"/>
      <c r="F8" s="109"/>
      <c r="G8" s="109" t="s">
        <v>368</v>
      </c>
      <c r="H8" s="109">
        <v>3</v>
      </c>
      <c r="I8" s="109" t="s">
        <v>361</v>
      </c>
      <c r="J8" s="109">
        <v>3</v>
      </c>
      <c r="K8" s="109" t="s">
        <v>333</v>
      </c>
      <c r="L8" s="109">
        <v>3</v>
      </c>
    </row>
    <row r="9" spans="1:12" ht="15">
      <c r="A9" s="111" t="s">
        <v>339</v>
      </c>
      <c r="B9" s="109">
        <v>9</v>
      </c>
      <c r="C9" s="109" t="s">
        <v>334</v>
      </c>
      <c r="D9" s="109">
        <v>3</v>
      </c>
      <c r="E9" s="109"/>
      <c r="F9" s="109"/>
      <c r="G9" s="109" t="s">
        <v>374</v>
      </c>
      <c r="H9" s="109">
        <v>3</v>
      </c>
      <c r="I9" s="109" t="s">
        <v>346</v>
      </c>
      <c r="J9" s="109">
        <v>3</v>
      </c>
      <c r="K9" s="109" t="s">
        <v>340</v>
      </c>
      <c r="L9" s="109">
        <v>2</v>
      </c>
    </row>
    <row r="10" spans="1:12" ht="15">
      <c r="A10" s="111" t="s">
        <v>340</v>
      </c>
      <c r="B10" s="109">
        <v>6</v>
      </c>
      <c r="C10" s="109" t="s">
        <v>333</v>
      </c>
      <c r="D10" s="109">
        <v>3</v>
      </c>
      <c r="E10" s="109"/>
      <c r="F10" s="109"/>
      <c r="G10" s="109" t="s">
        <v>375</v>
      </c>
      <c r="H10" s="109">
        <v>3</v>
      </c>
      <c r="I10" s="109" t="s">
        <v>347</v>
      </c>
      <c r="J10" s="109">
        <v>3</v>
      </c>
      <c r="K10" s="109"/>
      <c r="L10" s="109"/>
    </row>
    <row r="11" spans="1:12" ht="15">
      <c r="A11" s="111" t="s">
        <v>341</v>
      </c>
      <c r="B11" s="109">
        <v>6</v>
      </c>
      <c r="C11" s="109" t="s">
        <v>381</v>
      </c>
      <c r="D11" s="109">
        <v>2</v>
      </c>
      <c r="E11" s="109"/>
      <c r="F11" s="109"/>
      <c r="G11" s="109" t="s">
        <v>355</v>
      </c>
      <c r="H11" s="109">
        <v>3</v>
      </c>
      <c r="I11" s="109" t="s">
        <v>367</v>
      </c>
      <c r="J11" s="109">
        <v>3</v>
      </c>
      <c r="K11" s="109"/>
      <c r="L11" s="109"/>
    </row>
    <row r="14" spans="1:12" ht="15" customHeight="1">
      <c r="A14" s="7" t="s">
        <v>467</v>
      </c>
      <c r="B14" s="7" t="s">
        <v>450</v>
      </c>
      <c r="C14" s="7" t="s">
        <v>478</v>
      </c>
      <c r="D14" s="7" t="s">
        <v>453</v>
      </c>
      <c r="E14" s="7" t="s">
        <v>487</v>
      </c>
      <c r="F14" s="7" t="s">
        <v>455</v>
      </c>
      <c r="G14" s="7" t="s">
        <v>489</v>
      </c>
      <c r="H14" s="7" t="s">
        <v>457</v>
      </c>
      <c r="I14" s="7" t="s">
        <v>497</v>
      </c>
      <c r="J14" s="7" t="s">
        <v>459</v>
      </c>
      <c r="K14" s="7" t="s">
        <v>506</v>
      </c>
      <c r="L14" s="7" t="s">
        <v>460</v>
      </c>
    </row>
    <row r="15" spans="1:12" ht="15">
      <c r="A15" s="109" t="s">
        <v>468</v>
      </c>
      <c r="B15" s="109">
        <v>12</v>
      </c>
      <c r="C15" s="109" t="s">
        <v>468</v>
      </c>
      <c r="D15" s="109">
        <v>3</v>
      </c>
      <c r="E15" s="109" t="s">
        <v>475</v>
      </c>
      <c r="F15" s="109">
        <v>3</v>
      </c>
      <c r="G15" s="109" t="s">
        <v>473</v>
      </c>
      <c r="H15" s="109">
        <v>4</v>
      </c>
      <c r="I15" s="109" t="s">
        <v>470</v>
      </c>
      <c r="J15" s="109">
        <v>6</v>
      </c>
      <c r="K15" s="109" t="s">
        <v>471</v>
      </c>
      <c r="L15" s="109">
        <v>9</v>
      </c>
    </row>
    <row r="16" spans="1:12" ht="15">
      <c r="A16" s="111" t="s">
        <v>469</v>
      </c>
      <c r="B16" s="109">
        <v>9</v>
      </c>
      <c r="C16" s="109" t="s">
        <v>479</v>
      </c>
      <c r="D16" s="109">
        <v>3</v>
      </c>
      <c r="E16" s="109" t="s">
        <v>488</v>
      </c>
      <c r="F16" s="109">
        <v>2</v>
      </c>
      <c r="G16" s="109" t="s">
        <v>468</v>
      </c>
      <c r="H16" s="109">
        <v>4</v>
      </c>
      <c r="I16" s="109" t="s">
        <v>498</v>
      </c>
      <c r="J16" s="109">
        <v>3</v>
      </c>
      <c r="K16" s="109" t="s">
        <v>472</v>
      </c>
      <c r="L16" s="109">
        <v>9</v>
      </c>
    </row>
    <row r="17" spans="1:12" ht="15">
      <c r="A17" s="111" t="s">
        <v>470</v>
      </c>
      <c r="B17" s="109">
        <v>9</v>
      </c>
      <c r="C17" s="109" t="s">
        <v>480</v>
      </c>
      <c r="D17" s="109">
        <v>3</v>
      </c>
      <c r="E17" s="109"/>
      <c r="F17" s="109"/>
      <c r="G17" s="109" t="s">
        <v>477</v>
      </c>
      <c r="H17" s="109">
        <v>3</v>
      </c>
      <c r="I17" s="109" t="s">
        <v>476</v>
      </c>
      <c r="J17" s="109">
        <v>3</v>
      </c>
      <c r="K17" s="109" t="s">
        <v>469</v>
      </c>
      <c r="L17" s="109">
        <v>9</v>
      </c>
    </row>
    <row r="18" spans="1:12" ht="15">
      <c r="A18" s="111" t="s">
        <v>471</v>
      </c>
      <c r="B18" s="109">
        <v>9</v>
      </c>
      <c r="C18" s="109" t="s">
        <v>470</v>
      </c>
      <c r="D18" s="109">
        <v>3</v>
      </c>
      <c r="E18" s="109"/>
      <c r="F18" s="109"/>
      <c r="G18" s="109" t="s">
        <v>490</v>
      </c>
      <c r="H18" s="109">
        <v>3</v>
      </c>
      <c r="I18" s="109" t="s">
        <v>499</v>
      </c>
      <c r="J18" s="109">
        <v>3</v>
      </c>
      <c r="K18" s="109" t="s">
        <v>474</v>
      </c>
      <c r="L18" s="109">
        <v>6</v>
      </c>
    </row>
    <row r="19" spans="1:12" ht="15">
      <c r="A19" s="111" t="s">
        <v>472</v>
      </c>
      <c r="B19" s="109">
        <v>9</v>
      </c>
      <c r="C19" s="109" t="s">
        <v>481</v>
      </c>
      <c r="D19" s="109">
        <v>2</v>
      </c>
      <c r="E19" s="109"/>
      <c r="F19" s="109"/>
      <c r="G19" s="109" t="s">
        <v>491</v>
      </c>
      <c r="H19" s="109">
        <v>3</v>
      </c>
      <c r="I19" s="109" t="s">
        <v>500</v>
      </c>
      <c r="J19" s="109">
        <v>3</v>
      </c>
      <c r="K19" s="109" t="s">
        <v>468</v>
      </c>
      <c r="L19" s="109">
        <v>3</v>
      </c>
    </row>
    <row r="20" spans="1:12" ht="15">
      <c r="A20" s="111" t="s">
        <v>473</v>
      </c>
      <c r="B20" s="109">
        <v>6</v>
      </c>
      <c r="C20" s="109" t="s">
        <v>482</v>
      </c>
      <c r="D20" s="109">
        <v>2</v>
      </c>
      <c r="E20" s="109"/>
      <c r="F20" s="109"/>
      <c r="G20" s="109" t="s">
        <v>492</v>
      </c>
      <c r="H20" s="109">
        <v>3</v>
      </c>
      <c r="I20" s="109" t="s">
        <v>501</v>
      </c>
      <c r="J20" s="109">
        <v>3</v>
      </c>
      <c r="K20" s="109" t="s">
        <v>507</v>
      </c>
      <c r="L20" s="109">
        <v>2</v>
      </c>
    </row>
    <row r="21" spans="1:12" ht="15">
      <c r="A21" s="111" t="s">
        <v>474</v>
      </c>
      <c r="B21" s="109">
        <v>6</v>
      </c>
      <c r="C21" s="109" t="s">
        <v>483</v>
      </c>
      <c r="D21" s="109">
        <v>2</v>
      </c>
      <c r="E21" s="109"/>
      <c r="F21" s="109"/>
      <c r="G21" s="109" t="s">
        <v>493</v>
      </c>
      <c r="H21" s="109">
        <v>3</v>
      </c>
      <c r="I21" s="109" t="s">
        <v>502</v>
      </c>
      <c r="J21" s="109">
        <v>3</v>
      </c>
      <c r="K21" s="109" t="s">
        <v>473</v>
      </c>
      <c r="L21" s="109">
        <v>2</v>
      </c>
    </row>
    <row r="22" spans="1:12" ht="15">
      <c r="A22" s="111" t="s">
        <v>475</v>
      </c>
      <c r="B22" s="109">
        <v>4</v>
      </c>
      <c r="C22" s="109" t="s">
        <v>484</v>
      </c>
      <c r="D22" s="109">
        <v>2</v>
      </c>
      <c r="E22" s="109"/>
      <c r="F22" s="109"/>
      <c r="G22" s="109" t="s">
        <v>494</v>
      </c>
      <c r="H22" s="109">
        <v>3</v>
      </c>
      <c r="I22" s="109" t="s">
        <v>503</v>
      </c>
      <c r="J22" s="109">
        <v>3</v>
      </c>
      <c r="K22" s="109"/>
      <c r="L22" s="109"/>
    </row>
    <row r="23" spans="1:12" ht="15">
      <c r="A23" s="111" t="s">
        <v>476</v>
      </c>
      <c r="B23" s="109">
        <v>3</v>
      </c>
      <c r="C23" s="109" t="s">
        <v>485</v>
      </c>
      <c r="D23" s="109">
        <v>2</v>
      </c>
      <c r="E23" s="109"/>
      <c r="F23" s="109"/>
      <c r="G23" s="109" t="s">
        <v>495</v>
      </c>
      <c r="H23" s="109">
        <v>3</v>
      </c>
      <c r="I23" s="109" t="s">
        <v>504</v>
      </c>
      <c r="J23" s="109">
        <v>2</v>
      </c>
      <c r="K23" s="109"/>
      <c r="L23" s="109"/>
    </row>
    <row r="24" spans="1:12" ht="15">
      <c r="A24" s="111" t="s">
        <v>477</v>
      </c>
      <c r="B24" s="109">
        <v>3</v>
      </c>
      <c r="C24" s="109" t="s">
        <v>486</v>
      </c>
      <c r="D24" s="109">
        <v>2</v>
      </c>
      <c r="E24" s="109"/>
      <c r="F24" s="109"/>
      <c r="G24" s="109" t="s">
        <v>496</v>
      </c>
      <c r="H24" s="109">
        <v>3</v>
      </c>
      <c r="I24" s="109" t="s">
        <v>505</v>
      </c>
      <c r="J24" s="109">
        <v>2</v>
      </c>
      <c r="K24" s="109"/>
      <c r="L24" s="109"/>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7109375" style="2" bestFit="1" customWidth="1"/>
    <col min="31" max="31" width="15.7109375" style="0" bestFit="1" customWidth="1"/>
    <col min="32" max="32" width="14.00390625" style="0" bestFit="1" customWidth="1"/>
    <col min="33" max="33" width="10.421875" style="0" bestFit="1" customWidth="1"/>
    <col min="34" max="34" width="6.7109375" style="0" bestFit="1" customWidth="1"/>
    <col min="35" max="35" width="13.140625" style="0" bestFit="1" customWidth="1"/>
    <col min="36" max="36" width="14.28125" style="0" bestFit="1" customWidth="1"/>
    <col min="37" max="37" width="6.57421875" style="0" bestFit="1" customWidth="1"/>
    <col min="38" max="38" width="9.28125" style="0" bestFit="1" customWidth="1"/>
    <col min="39" max="39" width="19.140625" style="0" bestFit="1" customWidth="1"/>
    <col min="40" max="40" width="23.8515625" style="0" bestFit="1" customWidth="1"/>
    <col min="41" max="41" width="19.140625" style="0" bestFit="1" customWidth="1"/>
    <col min="42" max="42" width="23.8515625" style="0" bestFit="1" customWidth="1"/>
    <col min="43" max="43" width="19.140625" style="0" bestFit="1" customWidth="1"/>
    <col min="44" max="44" width="23.8515625" style="0" bestFit="1" customWidth="1"/>
    <col min="45" max="45" width="18.140625" style="0" bestFit="1" customWidth="1"/>
    <col min="46" max="46" width="22.28125" style="0" bestFit="1" customWidth="1"/>
    <col min="47" max="47" width="17.00390625" style="0" bestFit="1" customWidth="1"/>
    <col min="48" max="48" width="20.57421875" style="0" bestFit="1" customWidth="1"/>
    <col min="49" max="49" width="22.7109375" style="0" bestFit="1" customWidth="1"/>
    <col min="50" max="51" width="22.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51"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296</v>
      </c>
      <c r="AE2" s="7" t="s">
        <v>297</v>
      </c>
      <c r="AF2" s="7" t="s">
        <v>298</v>
      </c>
      <c r="AG2" s="7" t="s">
        <v>299</v>
      </c>
      <c r="AH2" s="7" t="s">
        <v>300</v>
      </c>
      <c r="AI2" s="7" t="s">
        <v>301</v>
      </c>
      <c r="AJ2" s="7" t="s">
        <v>302</v>
      </c>
      <c r="AK2" s="7" t="s">
        <v>303</v>
      </c>
      <c r="AL2" s="7" t="s">
        <v>320</v>
      </c>
      <c r="AM2" s="114" t="s">
        <v>406</v>
      </c>
      <c r="AN2" s="114" t="s">
        <v>407</v>
      </c>
      <c r="AO2" s="114" t="s">
        <v>408</v>
      </c>
      <c r="AP2" s="114" t="s">
        <v>409</v>
      </c>
      <c r="AQ2" s="114" t="s">
        <v>410</v>
      </c>
      <c r="AR2" s="114" t="s">
        <v>411</v>
      </c>
      <c r="AS2" s="114" t="s">
        <v>412</v>
      </c>
      <c r="AT2" s="114" t="s">
        <v>413</v>
      </c>
      <c r="AU2" s="114" t="s">
        <v>415</v>
      </c>
      <c r="AV2" s="114" t="s">
        <v>514</v>
      </c>
      <c r="AW2" s="114" t="s">
        <v>545</v>
      </c>
      <c r="AX2" s="114" t="s">
        <v>549</v>
      </c>
      <c r="AY2" s="114" t="s">
        <v>570</v>
      </c>
    </row>
    <row r="3" spans="1:51" ht="15" customHeight="1">
      <c r="A3" s="46" t="s">
        <v>251</v>
      </c>
      <c r="B3" s="49"/>
      <c r="C3" s="49"/>
      <c r="D3" s="50">
        <v>50</v>
      </c>
      <c r="E3" s="51"/>
      <c r="F3" s="101"/>
      <c r="G3" s="49"/>
      <c r="H3" s="53" t="s">
        <v>251</v>
      </c>
      <c r="I3" s="52"/>
      <c r="J3" s="52"/>
      <c r="K3" s="104" t="s">
        <v>251</v>
      </c>
      <c r="L3" s="55">
        <v>1</v>
      </c>
      <c r="M3" s="56">
        <v>5727.63623046875</v>
      </c>
      <c r="N3" s="56">
        <v>9752.2099609375</v>
      </c>
      <c r="O3" s="54"/>
      <c r="P3" s="57"/>
      <c r="Q3" s="57"/>
      <c r="R3" s="47"/>
      <c r="S3" s="47">
        <v>1</v>
      </c>
      <c r="T3" s="47">
        <v>1</v>
      </c>
      <c r="U3" s="48">
        <v>0</v>
      </c>
      <c r="V3" s="48">
        <v>0.261905</v>
      </c>
      <c r="W3" s="48">
        <v>0.235562</v>
      </c>
      <c r="X3" s="48">
        <v>0.027887</v>
      </c>
      <c r="Y3" s="48">
        <v>0.5</v>
      </c>
      <c r="Z3" s="48">
        <v>0</v>
      </c>
      <c r="AA3" s="58">
        <v>3</v>
      </c>
      <c r="AB3" s="58"/>
      <c r="AC3" s="59"/>
      <c r="AD3" s="80" t="s">
        <v>304</v>
      </c>
      <c r="AE3" s="80" t="s">
        <v>308</v>
      </c>
      <c r="AF3" s="80" t="s">
        <v>309</v>
      </c>
      <c r="AG3" s="80"/>
      <c r="AH3" s="80"/>
      <c r="AI3" s="80">
        <v>0.7693332</v>
      </c>
      <c r="AJ3" s="80">
        <v>500</v>
      </c>
      <c r="AK3" s="80"/>
      <c r="AL3" s="80" t="str">
        <f>REPLACE(INDEX(GroupVertices[Group],MATCH(Vertices[[#This Row],[Vertex]],GroupVertices[Vertex],0)),1,1,"")</f>
        <v>3</v>
      </c>
      <c r="AM3" s="47">
        <v>0</v>
      </c>
      <c r="AN3" s="48">
        <v>0</v>
      </c>
      <c r="AO3" s="47">
        <v>0</v>
      </c>
      <c r="AP3" s="48">
        <v>0</v>
      </c>
      <c r="AQ3" s="47">
        <v>0</v>
      </c>
      <c r="AR3" s="48">
        <v>0</v>
      </c>
      <c r="AS3" s="47">
        <v>4</v>
      </c>
      <c r="AT3" s="48">
        <v>30.76923076923077</v>
      </c>
      <c r="AU3" s="47">
        <v>13</v>
      </c>
      <c r="AV3" s="118" t="s">
        <v>515</v>
      </c>
      <c r="AW3" s="118" t="s">
        <v>515</v>
      </c>
      <c r="AX3" s="118" t="s">
        <v>550</v>
      </c>
      <c r="AY3" s="118" t="s">
        <v>550</v>
      </c>
    </row>
    <row r="4" spans="1:52" ht="15">
      <c r="A4" s="11" t="s">
        <v>219</v>
      </c>
      <c r="B4" s="12"/>
      <c r="C4" s="12"/>
      <c r="D4" s="82">
        <v>200</v>
      </c>
      <c r="E4" s="76"/>
      <c r="F4" s="101"/>
      <c r="G4" s="12"/>
      <c r="H4" s="13" t="s">
        <v>219</v>
      </c>
      <c r="I4" s="63"/>
      <c r="J4" s="63"/>
      <c r="K4" s="104" t="s">
        <v>219</v>
      </c>
      <c r="L4" s="83">
        <v>7768.676923076923</v>
      </c>
      <c r="M4" s="84">
        <v>7293.2685546875</v>
      </c>
      <c r="N4" s="84">
        <v>8711.49609375</v>
      </c>
      <c r="O4" s="74"/>
      <c r="P4" s="85"/>
      <c r="Q4" s="85"/>
      <c r="R4" s="86"/>
      <c r="S4" s="47">
        <v>5</v>
      </c>
      <c r="T4" s="47">
        <v>4</v>
      </c>
      <c r="U4" s="48">
        <v>505</v>
      </c>
      <c r="V4" s="48">
        <v>0.347368</v>
      </c>
      <c r="W4" s="48">
        <v>0.553907</v>
      </c>
      <c r="X4" s="48">
        <v>0.042443</v>
      </c>
      <c r="Y4" s="48">
        <v>0.017857142857142856</v>
      </c>
      <c r="Z4" s="48">
        <v>0.125</v>
      </c>
      <c r="AA4" s="77">
        <v>4</v>
      </c>
      <c r="AB4" s="77"/>
      <c r="AC4" s="87"/>
      <c r="AD4" s="80" t="s">
        <v>304</v>
      </c>
      <c r="AE4" s="103" t="str">
        <f>HYPERLINK("http://en.wikipedia.org/wiki/User:Bruce1ee")</f>
        <v>http://en.wikipedia.org/wiki/User:Bruce1ee</v>
      </c>
      <c r="AF4" s="80" t="s">
        <v>309</v>
      </c>
      <c r="AG4" s="80"/>
      <c r="AH4" s="80"/>
      <c r="AI4" s="80">
        <v>0.1553173</v>
      </c>
      <c r="AJ4" s="80">
        <v>500</v>
      </c>
      <c r="AK4" s="80"/>
      <c r="AL4" s="80" t="str">
        <f>REPLACE(INDEX(GroupVertices[Group],MATCH(Vertices[[#This Row],[Vertex]],GroupVertices[Vertex],0)),1,1,"")</f>
        <v>3</v>
      </c>
      <c r="AM4" s="47">
        <v>0</v>
      </c>
      <c r="AN4" s="48">
        <v>0</v>
      </c>
      <c r="AO4" s="47">
        <v>0</v>
      </c>
      <c r="AP4" s="48">
        <v>0</v>
      </c>
      <c r="AQ4" s="47">
        <v>0</v>
      </c>
      <c r="AR4" s="48">
        <v>0</v>
      </c>
      <c r="AS4" s="47">
        <v>66</v>
      </c>
      <c r="AT4" s="48">
        <v>64.70588235294117</v>
      </c>
      <c r="AU4" s="47">
        <v>102</v>
      </c>
      <c r="AV4" s="118" t="s">
        <v>516</v>
      </c>
      <c r="AW4" s="118" t="s">
        <v>546</v>
      </c>
      <c r="AX4" s="118" t="s">
        <v>551</v>
      </c>
      <c r="AY4" s="118" t="s">
        <v>571</v>
      </c>
      <c r="AZ4" s="2"/>
    </row>
    <row r="5" spans="1:52" ht="15">
      <c r="A5" s="11" t="s">
        <v>218</v>
      </c>
      <c r="B5" s="12"/>
      <c r="C5" s="12"/>
      <c r="D5" s="82">
        <v>50</v>
      </c>
      <c r="E5" s="76"/>
      <c r="F5" s="101"/>
      <c r="G5" s="12"/>
      <c r="H5" s="13" t="s">
        <v>218</v>
      </c>
      <c r="I5" s="63"/>
      <c r="J5" s="63"/>
      <c r="K5" s="104" t="s">
        <v>218</v>
      </c>
      <c r="L5" s="83">
        <v>1</v>
      </c>
      <c r="M5" s="84">
        <v>4776.59228515625</v>
      </c>
      <c r="N5" s="84">
        <v>9038.4228515625</v>
      </c>
      <c r="O5" s="74"/>
      <c r="P5" s="85"/>
      <c r="Q5" s="85"/>
      <c r="R5" s="86"/>
      <c r="S5" s="47">
        <v>1</v>
      </c>
      <c r="T5" s="47">
        <v>1</v>
      </c>
      <c r="U5" s="48">
        <v>0</v>
      </c>
      <c r="V5" s="48">
        <v>0.261905</v>
      </c>
      <c r="W5" s="48">
        <v>0.235562</v>
      </c>
      <c r="X5" s="48">
        <v>0.027887</v>
      </c>
      <c r="Y5" s="48">
        <v>0.5</v>
      </c>
      <c r="Z5" s="48">
        <v>0</v>
      </c>
      <c r="AA5" s="77">
        <v>5</v>
      </c>
      <c r="AB5" s="77"/>
      <c r="AC5" s="87"/>
      <c r="AD5" s="80" t="s">
        <v>304</v>
      </c>
      <c r="AE5" s="103" t="str">
        <f>HYPERLINK("http://en.wikipedia.org/wiki/User:182.48.236.153")</f>
        <v>http://en.wikipedia.org/wiki/User:182.48.236.153</v>
      </c>
      <c r="AF5" s="80" t="s">
        <v>309</v>
      </c>
      <c r="AG5" s="80"/>
      <c r="AH5" s="80"/>
      <c r="AI5" s="80">
        <v>0</v>
      </c>
      <c r="AJ5" s="80">
        <v>1</v>
      </c>
      <c r="AK5" s="80"/>
      <c r="AL5" s="80" t="str">
        <f>REPLACE(INDEX(GroupVertices[Group],MATCH(Vertices[[#This Row],[Vertex]],GroupVertices[Vertex],0)),1,1,"")</f>
        <v>3</v>
      </c>
      <c r="AM5" s="47">
        <v>0</v>
      </c>
      <c r="AN5" s="48">
        <v>0</v>
      </c>
      <c r="AO5" s="47">
        <v>0</v>
      </c>
      <c r="AP5" s="48">
        <v>0</v>
      </c>
      <c r="AQ5" s="47">
        <v>0</v>
      </c>
      <c r="AR5" s="48">
        <v>0</v>
      </c>
      <c r="AS5" s="47">
        <v>4</v>
      </c>
      <c r="AT5" s="48">
        <v>66.66666666666667</v>
      </c>
      <c r="AU5" s="47">
        <v>6</v>
      </c>
      <c r="AV5" s="118" t="s">
        <v>517</v>
      </c>
      <c r="AW5" s="118" t="s">
        <v>517</v>
      </c>
      <c r="AX5" s="118" t="s">
        <v>552</v>
      </c>
      <c r="AY5" s="118" t="s">
        <v>552</v>
      </c>
      <c r="AZ5" s="2"/>
    </row>
    <row r="6" spans="1:52" ht="15">
      <c r="A6" s="11" t="s">
        <v>220</v>
      </c>
      <c r="B6" s="12"/>
      <c r="C6" s="12"/>
      <c r="D6" s="82">
        <v>50</v>
      </c>
      <c r="E6" s="76"/>
      <c r="F6" s="101"/>
      <c r="G6" s="12"/>
      <c r="H6" s="13" t="s">
        <v>220</v>
      </c>
      <c r="I6" s="63"/>
      <c r="J6" s="63"/>
      <c r="K6" s="104" t="s">
        <v>220</v>
      </c>
      <c r="L6" s="83">
        <v>1</v>
      </c>
      <c r="M6" s="84">
        <v>9820.8505859375</v>
      </c>
      <c r="N6" s="84">
        <v>246.78982543945312</v>
      </c>
      <c r="O6" s="74"/>
      <c r="P6" s="85"/>
      <c r="Q6" s="85"/>
      <c r="R6" s="86"/>
      <c r="S6" s="47">
        <v>1</v>
      </c>
      <c r="T6" s="47">
        <v>1</v>
      </c>
      <c r="U6" s="48">
        <v>0</v>
      </c>
      <c r="V6" s="48">
        <v>0.221477</v>
      </c>
      <c r="W6" s="48">
        <v>0.117435</v>
      </c>
      <c r="X6" s="48">
        <v>0.026106</v>
      </c>
      <c r="Y6" s="48">
        <v>0</v>
      </c>
      <c r="Z6" s="48">
        <v>1</v>
      </c>
      <c r="AA6" s="77">
        <v>6</v>
      </c>
      <c r="AB6" s="77"/>
      <c r="AC6" s="87"/>
      <c r="AD6" s="80" t="s">
        <v>304</v>
      </c>
      <c r="AE6" s="103" t="str">
        <f>HYPERLINK("http://en.wikipedia.org/wiki/User:Apparition11")</f>
        <v>http://en.wikipedia.org/wiki/User:Apparition11</v>
      </c>
      <c r="AF6" s="80" t="s">
        <v>309</v>
      </c>
      <c r="AG6" s="80"/>
      <c r="AH6" s="80"/>
      <c r="AI6" s="80">
        <v>0.1292121</v>
      </c>
      <c r="AJ6" s="80">
        <v>500</v>
      </c>
      <c r="AK6" s="80"/>
      <c r="AL6" s="80" t="str">
        <f>REPLACE(INDEX(GroupVertices[Group],MATCH(Vertices[[#This Row],[Vertex]],GroupVertices[Vertex],0)),1,1,"")</f>
        <v>5</v>
      </c>
      <c r="AM6" s="47">
        <v>0</v>
      </c>
      <c r="AN6" s="48">
        <v>0</v>
      </c>
      <c r="AO6" s="47">
        <v>0</v>
      </c>
      <c r="AP6" s="48">
        <v>0</v>
      </c>
      <c r="AQ6" s="47">
        <v>0</v>
      </c>
      <c r="AR6" s="48">
        <v>0</v>
      </c>
      <c r="AS6" s="47">
        <v>16</v>
      </c>
      <c r="AT6" s="48">
        <v>64</v>
      </c>
      <c r="AU6" s="47">
        <v>25</v>
      </c>
      <c r="AV6" s="118" t="s">
        <v>518</v>
      </c>
      <c r="AW6" s="118" t="s">
        <v>518</v>
      </c>
      <c r="AX6" s="118" t="s">
        <v>553</v>
      </c>
      <c r="AY6" s="118" t="s">
        <v>553</v>
      </c>
      <c r="AZ6" s="2"/>
    </row>
    <row r="7" spans="1:52" ht="15">
      <c r="A7" s="11" t="s">
        <v>221</v>
      </c>
      <c r="B7" s="12"/>
      <c r="C7" s="12"/>
      <c r="D7" s="82">
        <v>200</v>
      </c>
      <c r="E7" s="76"/>
      <c r="F7" s="101"/>
      <c r="G7" s="12"/>
      <c r="H7" s="13" t="s">
        <v>221</v>
      </c>
      <c r="I7" s="63"/>
      <c r="J7" s="63"/>
      <c r="K7" s="104" t="s">
        <v>221</v>
      </c>
      <c r="L7" s="83">
        <v>2877.3476923076923</v>
      </c>
      <c r="M7" s="84">
        <v>8803.1611328125</v>
      </c>
      <c r="N7" s="84">
        <v>1616.3687744140625</v>
      </c>
      <c r="O7" s="74"/>
      <c r="P7" s="85"/>
      <c r="Q7" s="85"/>
      <c r="R7" s="86"/>
      <c r="S7" s="47">
        <v>4</v>
      </c>
      <c r="T7" s="47">
        <v>4</v>
      </c>
      <c r="U7" s="48">
        <v>187</v>
      </c>
      <c r="V7" s="48">
        <v>0.282051</v>
      </c>
      <c r="W7" s="48">
        <v>0.393566</v>
      </c>
      <c r="X7" s="48">
        <v>0.03685</v>
      </c>
      <c r="Y7" s="48">
        <v>0</v>
      </c>
      <c r="Z7" s="48">
        <v>0.5</v>
      </c>
      <c r="AA7" s="77">
        <v>7</v>
      </c>
      <c r="AB7" s="77"/>
      <c r="AC7" s="87"/>
      <c r="AD7" s="80" t="s">
        <v>304</v>
      </c>
      <c r="AE7" s="103" t="str">
        <f>HYPERLINK("http://en.wikipedia.org/wiki/User:174.233.16.171")</f>
        <v>http://en.wikipedia.org/wiki/User:174.233.16.171</v>
      </c>
      <c r="AF7" s="80" t="s">
        <v>309</v>
      </c>
      <c r="AG7" s="80"/>
      <c r="AH7" s="80"/>
      <c r="AI7" s="80">
        <v>0</v>
      </c>
      <c r="AJ7" s="80">
        <v>7</v>
      </c>
      <c r="AK7" s="80"/>
      <c r="AL7" s="80" t="str">
        <f>REPLACE(INDEX(GroupVertices[Group],MATCH(Vertices[[#This Row],[Vertex]],GroupVertices[Vertex],0)),1,1,"")</f>
        <v>5</v>
      </c>
      <c r="AM7" s="47">
        <v>0</v>
      </c>
      <c r="AN7" s="48">
        <v>0</v>
      </c>
      <c r="AO7" s="47">
        <v>0</v>
      </c>
      <c r="AP7" s="48">
        <v>0</v>
      </c>
      <c r="AQ7" s="47">
        <v>0</v>
      </c>
      <c r="AR7" s="48">
        <v>0</v>
      </c>
      <c r="AS7" s="47">
        <v>4</v>
      </c>
      <c r="AT7" s="48">
        <v>25</v>
      </c>
      <c r="AU7" s="47">
        <v>16</v>
      </c>
      <c r="AV7" s="118" t="s">
        <v>344</v>
      </c>
      <c r="AW7" s="118" t="s">
        <v>344</v>
      </c>
      <c r="AX7" s="118" t="s">
        <v>528</v>
      </c>
      <c r="AY7" s="118" t="s">
        <v>528</v>
      </c>
      <c r="AZ7" s="2"/>
    </row>
    <row r="8" spans="1:52" ht="15">
      <c r="A8" s="11" t="s">
        <v>222</v>
      </c>
      <c r="B8" s="12"/>
      <c r="C8" s="12"/>
      <c r="D8" s="82">
        <v>50</v>
      </c>
      <c r="E8" s="76"/>
      <c r="F8" s="101"/>
      <c r="G8" s="12"/>
      <c r="H8" s="13" t="s">
        <v>222</v>
      </c>
      <c r="I8" s="63"/>
      <c r="J8" s="63"/>
      <c r="K8" s="104" t="s">
        <v>222</v>
      </c>
      <c r="L8" s="83">
        <v>1</v>
      </c>
      <c r="M8" s="84">
        <v>7621.318359375</v>
      </c>
      <c r="N8" s="84">
        <v>469.5862731933594</v>
      </c>
      <c r="O8" s="74"/>
      <c r="P8" s="85"/>
      <c r="Q8" s="85"/>
      <c r="R8" s="86"/>
      <c r="S8" s="47">
        <v>1</v>
      </c>
      <c r="T8" s="47">
        <v>1</v>
      </c>
      <c r="U8" s="48">
        <v>0</v>
      </c>
      <c r="V8" s="48">
        <v>0.221477</v>
      </c>
      <c r="W8" s="48">
        <v>0.117435</v>
      </c>
      <c r="X8" s="48">
        <v>0.026106</v>
      </c>
      <c r="Y8" s="48">
        <v>0</v>
      </c>
      <c r="Z8" s="48">
        <v>1</v>
      </c>
      <c r="AA8" s="77">
        <v>8</v>
      </c>
      <c r="AB8" s="77"/>
      <c r="AC8" s="87"/>
      <c r="AD8" s="80" t="s">
        <v>304</v>
      </c>
      <c r="AE8" s="80" t="s">
        <v>305</v>
      </c>
      <c r="AF8" s="80" t="s">
        <v>309</v>
      </c>
      <c r="AG8" s="80"/>
      <c r="AH8" s="80"/>
      <c r="AI8" s="80">
        <v>0.2672391</v>
      </c>
      <c r="AJ8" s="80">
        <v>500</v>
      </c>
      <c r="AK8" s="80"/>
      <c r="AL8" s="80" t="str">
        <f>REPLACE(INDEX(GroupVertices[Group],MATCH(Vertices[[#This Row],[Vertex]],GroupVertices[Vertex],0)),1,1,"")</f>
        <v>5</v>
      </c>
      <c r="AM8" s="47">
        <v>0</v>
      </c>
      <c r="AN8" s="48">
        <v>0</v>
      </c>
      <c r="AO8" s="47">
        <v>0</v>
      </c>
      <c r="AP8" s="48">
        <v>0</v>
      </c>
      <c r="AQ8" s="47">
        <v>0</v>
      </c>
      <c r="AR8" s="48">
        <v>0</v>
      </c>
      <c r="AS8" s="47">
        <v>16</v>
      </c>
      <c r="AT8" s="48">
        <v>64</v>
      </c>
      <c r="AU8" s="47">
        <v>25</v>
      </c>
      <c r="AV8" s="118" t="s">
        <v>519</v>
      </c>
      <c r="AW8" s="118" t="s">
        <v>519</v>
      </c>
      <c r="AX8" s="118" t="s">
        <v>554</v>
      </c>
      <c r="AY8" s="118" t="s">
        <v>554</v>
      </c>
      <c r="AZ8" s="2"/>
    </row>
    <row r="9" spans="1:52" ht="15">
      <c r="A9" s="11" t="s">
        <v>223</v>
      </c>
      <c r="B9" s="12"/>
      <c r="C9" s="12"/>
      <c r="D9" s="82">
        <v>78.07486631016043</v>
      </c>
      <c r="E9" s="76"/>
      <c r="F9" s="101"/>
      <c r="G9" s="12"/>
      <c r="H9" s="13" t="s">
        <v>223</v>
      </c>
      <c r="I9" s="63"/>
      <c r="J9" s="63"/>
      <c r="K9" s="104" t="s">
        <v>223</v>
      </c>
      <c r="L9" s="83">
        <v>539.3538461538461</v>
      </c>
      <c r="M9" s="84">
        <v>8901.974609375</v>
      </c>
      <c r="N9" s="84">
        <v>3864.764404296875</v>
      </c>
      <c r="O9" s="74"/>
      <c r="P9" s="85"/>
      <c r="Q9" s="85"/>
      <c r="R9" s="86"/>
      <c r="S9" s="47">
        <v>1</v>
      </c>
      <c r="T9" s="47">
        <v>1</v>
      </c>
      <c r="U9" s="48">
        <v>35</v>
      </c>
      <c r="V9" s="48">
        <v>0.23741</v>
      </c>
      <c r="W9" s="48">
        <v>0.136661</v>
      </c>
      <c r="X9" s="48">
        <v>0.028232</v>
      </c>
      <c r="Y9" s="48">
        <v>0</v>
      </c>
      <c r="Z9" s="48">
        <v>0</v>
      </c>
      <c r="AA9" s="77">
        <v>9</v>
      </c>
      <c r="AB9" s="77"/>
      <c r="AC9" s="87"/>
      <c r="AD9" s="80" t="s">
        <v>304</v>
      </c>
      <c r="AE9" s="103" t="str">
        <f>HYPERLINK("http://en.wikipedia.org/wiki/User:Ingenuity")</f>
        <v>http://en.wikipedia.org/wiki/User:Ingenuity</v>
      </c>
      <c r="AF9" s="80" t="s">
        <v>309</v>
      </c>
      <c r="AG9" s="80"/>
      <c r="AH9" s="80"/>
      <c r="AI9" s="80">
        <v>0.147602</v>
      </c>
      <c r="AJ9" s="80">
        <v>500</v>
      </c>
      <c r="AK9" s="80"/>
      <c r="AL9" s="80" t="str">
        <f>REPLACE(INDEX(GroupVertices[Group],MATCH(Vertices[[#This Row],[Vertex]],GroupVertices[Vertex],0)),1,1,"")</f>
        <v>5</v>
      </c>
      <c r="AM9" s="47">
        <v>0</v>
      </c>
      <c r="AN9" s="48">
        <v>0</v>
      </c>
      <c r="AO9" s="47">
        <v>0</v>
      </c>
      <c r="AP9" s="48">
        <v>0</v>
      </c>
      <c r="AQ9" s="47">
        <v>0</v>
      </c>
      <c r="AR9" s="48">
        <v>0</v>
      </c>
      <c r="AS9" s="47">
        <v>16</v>
      </c>
      <c r="AT9" s="48">
        <v>69.56521739130434</v>
      </c>
      <c r="AU9" s="47">
        <v>23</v>
      </c>
      <c r="AV9" s="118" t="s">
        <v>520</v>
      </c>
      <c r="AW9" s="118" t="s">
        <v>520</v>
      </c>
      <c r="AX9" s="118" t="s">
        <v>555</v>
      </c>
      <c r="AY9" s="118" t="s">
        <v>555</v>
      </c>
      <c r="AZ9" s="2"/>
    </row>
    <row r="10" spans="1:52" ht="15">
      <c r="A10" s="11" t="s">
        <v>224</v>
      </c>
      <c r="B10" s="12"/>
      <c r="C10" s="12"/>
      <c r="D10" s="82">
        <v>70.85561497326204</v>
      </c>
      <c r="E10" s="76"/>
      <c r="F10" s="101"/>
      <c r="G10" s="12"/>
      <c r="H10" s="13" t="s">
        <v>224</v>
      </c>
      <c r="I10" s="63"/>
      <c r="J10" s="63"/>
      <c r="K10" s="104" t="s">
        <v>224</v>
      </c>
      <c r="L10" s="83">
        <v>400.92</v>
      </c>
      <c r="M10" s="84">
        <v>8994.6953125</v>
      </c>
      <c r="N10" s="84">
        <v>5999.39990234375</v>
      </c>
      <c r="O10" s="74"/>
      <c r="P10" s="85"/>
      <c r="Q10" s="85"/>
      <c r="R10" s="86"/>
      <c r="S10" s="47">
        <v>1</v>
      </c>
      <c r="T10" s="47">
        <v>1</v>
      </c>
      <c r="U10" s="48">
        <v>26</v>
      </c>
      <c r="V10" s="48">
        <v>0.229167</v>
      </c>
      <c r="W10" s="48">
        <v>0.064435</v>
      </c>
      <c r="X10" s="48">
        <v>0.02835</v>
      </c>
      <c r="Y10" s="48">
        <v>0</v>
      </c>
      <c r="Z10" s="48">
        <v>0</v>
      </c>
      <c r="AA10" s="77">
        <v>10</v>
      </c>
      <c r="AB10" s="77"/>
      <c r="AC10" s="87"/>
      <c r="AD10" s="80" t="s">
        <v>304</v>
      </c>
      <c r="AE10" s="103" t="str">
        <f>HYPERLINK("http://en.wikipedia.org/wiki/User:45.116.232.9")</f>
        <v>http://en.wikipedia.org/wiki/User:45.116.232.9</v>
      </c>
      <c r="AF10" s="80" t="s">
        <v>309</v>
      </c>
      <c r="AG10" s="80"/>
      <c r="AH10" s="80"/>
      <c r="AI10" s="80">
        <v>0.3451037</v>
      </c>
      <c r="AJ10" s="80">
        <v>193</v>
      </c>
      <c r="AK10" s="80"/>
      <c r="AL10" s="80" t="str">
        <f>REPLACE(INDEX(GroupVertices[Group],MATCH(Vertices[[#This Row],[Vertex]],GroupVertices[Vertex],0)),1,1,"")</f>
        <v>5</v>
      </c>
      <c r="AM10" s="47">
        <v>0</v>
      </c>
      <c r="AN10" s="48">
        <v>0</v>
      </c>
      <c r="AO10" s="47">
        <v>0</v>
      </c>
      <c r="AP10" s="48">
        <v>0</v>
      </c>
      <c r="AQ10" s="47">
        <v>0</v>
      </c>
      <c r="AR10" s="48">
        <v>0</v>
      </c>
      <c r="AS10" s="47">
        <v>1</v>
      </c>
      <c r="AT10" s="48">
        <v>33.333333333333336</v>
      </c>
      <c r="AU10" s="47">
        <v>3</v>
      </c>
      <c r="AV10" s="118" t="s">
        <v>521</v>
      </c>
      <c r="AW10" s="118" t="s">
        <v>521</v>
      </c>
      <c r="AX10" s="118" t="s">
        <v>528</v>
      </c>
      <c r="AY10" s="118" t="s">
        <v>528</v>
      </c>
      <c r="AZ10" s="2"/>
    </row>
    <row r="11" spans="1:52" ht="15">
      <c r="A11" s="11" t="s">
        <v>225</v>
      </c>
      <c r="B11" s="12"/>
      <c r="C11" s="12"/>
      <c r="D11" s="82">
        <v>154.27807486631016</v>
      </c>
      <c r="E11" s="76"/>
      <c r="F11" s="101"/>
      <c r="G11" s="12"/>
      <c r="H11" s="13" t="s">
        <v>225</v>
      </c>
      <c r="I11" s="63"/>
      <c r="J11" s="63"/>
      <c r="K11" s="104" t="s">
        <v>225</v>
      </c>
      <c r="L11" s="83">
        <v>2000.6</v>
      </c>
      <c r="M11" s="84">
        <v>2925.7001953125</v>
      </c>
      <c r="N11" s="84">
        <v>6844.92041015625</v>
      </c>
      <c r="O11" s="74"/>
      <c r="P11" s="85"/>
      <c r="Q11" s="85"/>
      <c r="R11" s="86"/>
      <c r="S11" s="47">
        <v>2</v>
      </c>
      <c r="T11" s="47">
        <v>2</v>
      </c>
      <c r="U11" s="48">
        <v>130</v>
      </c>
      <c r="V11" s="48">
        <v>0.261905</v>
      </c>
      <c r="W11" s="48">
        <v>0.079285</v>
      </c>
      <c r="X11" s="48">
        <v>0.032871</v>
      </c>
      <c r="Y11" s="48">
        <v>0</v>
      </c>
      <c r="Z11" s="48">
        <v>0</v>
      </c>
      <c r="AA11" s="77">
        <v>11</v>
      </c>
      <c r="AB11" s="77"/>
      <c r="AC11" s="87"/>
      <c r="AD11" s="80" t="s">
        <v>304</v>
      </c>
      <c r="AE11" s="80" t="s">
        <v>306</v>
      </c>
      <c r="AF11" s="80" t="s">
        <v>309</v>
      </c>
      <c r="AG11" s="80"/>
      <c r="AH11" s="80"/>
      <c r="AI11" s="80">
        <v>0</v>
      </c>
      <c r="AJ11" s="80">
        <v>500</v>
      </c>
      <c r="AK11" s="80"/>
      <c r="AL11" s="80" t="str">
        <f>REPLACE(INDEX(GroupVertices[Group],MATCH(Vertices[[#This Row],[Vertex]],GroupVertices[Vertex],0)),1,1,"")</f>
        <v>2</v>
      </c>
      <c r="AM11" s="47">
        <v>0</v>
      </c>
      <c r="AN11" s="48">
        <v>0</v>
      </c>
      <c r="AO11" s="47">
        <v>0</v>
      </c>
      <c r="AP11" s="48">
        <v>0</v>
      </c>
      <c r="AQ11" s="47">
        <v>0</v>
      </c>
      <c r="AR11" s="48">
        <v>0</v>
      </c>
      <c r="AS11" s="47">
        <v>6</v>
      </c>
      <c r="AT11" s="48">
        <v>27.272727272727273</v>
      </c>
      <c r="AU11" s="47">
        <v>22</v>
      </c>
      <c r="AV11" s="118" t="s">
        <v>522</v>
      </c>
      <c r="AW11" s="118" t="s">
        <v>522</v>
      </c>
      <c r="AX11" s="118" t="s">
        <v>510</v>
      </c>
      <c r="AY11" s="118" t="s">
        <v>510</v>
      </c>
      <c r="AZ11" s="2"/>
    </row>
    <row r="12" spans="1:52" ht="15">
      <c r="A12" s="11" t="s">
        <v>226</v>
      </c>
      <c r="B12" s="12"/>
      <c r="C12" s="12"/>
      <c r="D12" s="82">
        <v>69.25133689839572</v>
      </c>
      <c r="E12" s="76"/>
      <c r="F12" s="101"/>
      <c r="G12" s="12"/>
      <c r="H12" s="13" t="s">
        <v>226</v>
      </c>
      <c r="I12" s="63"/>
      <c r="J12" s="63"/>
      <c r="K12" s="104" t="s">
        <v>226</v>
      </c>
      <c r="L12" s="83">
        <v>370.1569230769231</v>
      </c>
      <c r="M12" s="84">
        <v>1469.2894287109375</v>
      </c>
      <c r="N12" s="84">
        <v>6623.60498046875</v>
      </c>
      <c r="O12" s="74"/>
      <c r="P12" s="85"/>
      <c r="Q12" s="85"/>
      <c r="R12" s="86"/>
      <c r="S12" s="47">
        <v>1</v>
      </c>
      <c r="T12" s="47">
        <v>1</v>
      </c>
      <c r="U12" s="48">
        <v>24</v>
      </c>
      <c r="V12" s="48">
        <v>0.23741</v>
      </c>
      <c r="W12" s="48">
        <v>0.080106</v>
      </c>
      <c r="X12" s="48">
        <v>0.028327</v>
      </c>
      <c r="Y12" s="48">
        <v>0</v>
      </c>
      <c r="Z12" s="48">
        <v>0</v>
      </c>
      <c r="AA12" s="77">
        <v>12</v>
      </c>
      <c r="AB12" s="77"/>
      <c r="AC12" s="87"/>
      <c r="AD12" s="80" t="s">
        <v>304</v>
      </c>
      <c r="AE12" s="103" t="str">
        <f>HYPERLINK("http://en.wikipedia.org/wiki/User:Kuru")</f>
        <v>http://en.wikipedia.org/wiki/User:Kuru</v>
      </c>
      <c r="AF12" s="80" t="s">
        <v>309</v>
      </c>
      <c r="AG12" s="80"/>
      <c r="AH12" s="80"/>
      <c r="AI12" s="80">
        <v>0.1877494</v>
      </c>
      <c r="AJ12" s="80">
        <v>500</v>
      </c>
      <c r="AK12" s="80"/>
      <c r="AL12" s="80" t="str">
        <f>REPLACE(INDEX(GroupVertices[Group],MATCH(Vertices[[#This Row],[Vertex]],GroupVertices[Vertex],0)),1,1,"")</f>
        <v>2</v>
      </c>
      <c r="AM12" s="47">
        <v>0</v>
      </c>
      <c r="AN12" s="48">
        <v>0</v>
      </c>
      <c r="AO12" s="47">
        <v>1</v>
      </c>
      <c r="AP12" s="48">
        <v>50</v>
      </c>
      <c r="AQ12" s="47">
        <v>0</v>
      </c>
      <c r="AR12" s="48">
        <v>0</v>
      </c>
      <c r="AS12" s="47">
        <v>1</v>
      </c>
      <c r="AT12" s="48">
        <v>50</v>
      </c>
      <c r="AU12" s="47">
        <v>2</v>
      </c>
      <c r="AV12" s="118" t="s">
        <v>523</v>
      </c>
      <c r="AW12" s="118" t="s">
        <v>523</v>
      </c>
      <c r="AX12" s="118" t="s">
        <v>556</v>
      </c>
      <c r="AY12" s="118" t="s">
        <v>556</v>
      </c>
      <c r="AZ12" s="2"/>
    </row>
    <row r="13" spans="1:52" ht="15">
      <c r="A13" s="11" t="s">
        <v>227</v>
      </c>
      <c r="B13" s="12"/>
      <c r="C13" s="12"/>
      <c r="D13" s="82">
        <v>90.9090909090909</v>
      </c>
      <c r="E13" s="76"/>
      <c r="F13" s="101"/>
      <c r="G13" s="12"/>
      <c r="H13" s="13" t="s">
        <v>227</v>
      </c>
      <c r="I13" s="63"/>
      <c r="J13" s="63"/>
      <c r="K13" s="104" t="s">
        <v>227</v>
      </c>
      <c r="L13" s="83">
        <v>785.4584615384615</v>
      </c>
      <c r="M13" s="84">
        <v>218.02813720703125</v>
      </c>
      <c r="N13" s="84">
        <v>6383.9140625</v>
      </c>
      <c r="O13" s="74"/>
      <c r="P13" s="85"/>
      <c r="Q13" s="85"/>
      <c r="R13" s="86"/>
      <c r="S13" s="47">
        <v>1</v>
      </c>
      <c r="T13" s="47">
        <v>1</v>
      </c>
      <c r="U13" s="48">
        <v>51</v>
      </c>
      <c r="V13" s="48">
        <v>0.277311</v>
      </c>
      <c r="W13" s="48">
        <v>0.189175</v>
      </c>
      <c r="X13" s="48">
        <v>0.02792</v>
      </c>
      <c r="Y13" s="48">
        <v>0</v>
      </c>
      <c r="Z13" s="48">
        <v>0</v>
      </c>
      <c r="AA13" s="77">
        <v>13</v>
      </c>
      <c r="AB13" s="77"/>
      <c r="AC13" s="87"/>
      <c r="AD13" s="80" t="s">
        <v>304</v>
      </c>
      <c r="AE13" s="103" t="str">
        <f>HYPERLINK("http://en.wikipedia.org/wiki/User:195.175.105.254")</f>
        <v>http://en.wikipedia.org/wiki/User:195.175.105.254</v>
      </c>
      <c r="AF13" s="80" t="s">
        <v>309</v>
      </c>
      <c r="AG13" s="80"/>
      <c r="AH13" s="80"/>
      <c r="AI13" s="80">
        <v>0</v>
      </c>
      <c r="AJ13" s="80">
        <v>1</v>
      </c>
      <c r="AK13" s="80"/>
      <c r="AL13" s="80" t="str">
        <f>REPLACE(INDEX(GroupVertices[Group],MATCH(Vertices[[#This Row],[Vertex]],GroupVertices[Vertex],0)),1,1,"")</f>
        <v>2</v>
      </c>
      <c r="AM13" s="47">
        <v>0</v>
      </c>
      <c r="AN13" s="48">
        <v>0</v>
      </c>
      <c r="AO13" s="47">
        <v>0</v>
      </c>
      <c r="AP13" s="48">
        <v>0</v>
      </c>
      <c r="AQ13" s="47">
        <v>0</v>
      </c>
      <c r="AR13" s="48">
        <v>0</v>
      </c>
      <c r="AS13" s="47">
        <v>1</v>
      </c>
      <c r="AT13" s="48">
        <v>33.333333333333336</v>
      </c>
      <c r="AU13" s="47">
        <v>3</v>
      </c>
      <c r="AV13" s="118" t="s">
        <v>524</v>
      </c>
      <c r="AW13" s="118" t="s">
        <v>524</v>
      </c>
      <c r="AX13" s="118" t="s">
        <v>528</v>
      </c>
      <c r="AY13" s="118" t="s">
        <v>528</v>
      </c>
      <c r="AZ13" s="2"/>
    </row>
    <row r="14" spans="1:52" ht="15">
      <c r="A14" s="11" t="s">
        <v>228</v>
      </c>
      <c r="B14" s="12"/>
      <c r="C14" s="12"/>
      <c r="D14" s="82">
        <v>50</v>
      </c>
      <c r="E14" s="76"/>
      <c r="F14" s="101"/>
      <c r="G14" s="12"/>
      <c r="H14" s="13" t="s">
        <v>228</v>
      </c>
      <c r="I14" s="63"/>
      <c r="J14" s="63"/>
      <c r="K14" s="104" t="s">
        <v>228</v>
      </c>
      <c r="L14" s="83">
        <v>1</v>
      </c>
      <c r="M14" s="84">
        <v>8870.9404296875</v>
      </c>
      <c r="N14" s="84">
        <v>9752.2099609375</v>
      </c>
      <c r="O14" s="74"/>
      <c r="P14" s="85"/>
      <c r="Q14" s="85"/>
      <c r="R14" s="86"/>
      <c r="S14" s="47">
        <v>1</v>
      </c>
      <c r="T14" s="47">
        <v>1</v>
      </c>
      <c r="U14" s="48">
        <v>0</v>
      </c>
      <c r="V14" s="48">
        <v>0.259843</v>
      </c>
      <c r="W14" s="48">
        <v>0.165273</v>
      </c>
      <c r="X14" s="48">
        <v>0.025796</v>
      </c>
      <c r="Y14" s="48">
        <v>0</v>
      </c>
      <c r="Z14" s="48">
        <v>1</v>
      </c>
      <c r="AA14" s="77">
        <v>14</v>
      </c>
      <c r="AB14" s="77"/>
      <c r="AC14" s="87"/>
      <c r="AD14" s="80" t="s">
        <v>304</v>
      </c>
      <c r="AE14" s="103" t="str">
        <f>HYPERLINK("http://en.wikipedia.org/wiki/User:41.116.138.173")</f>
        <v>http://en.wikipedia.org/wiki/User:41.116.138.173</v>
      </c>
      <c r="AF14" s="80" t="s">
        <v>309</v>
      </c>
      <c r="AG14" s="80"/>
      <c r="AH14" s="80"/>
      <c r="AI14" s="80">
        <v>0</v>
      </c>
      <c r="AJ14" s="80">
        <v>1</v>
      </c>
      <c r="AK14" s="80"/>
      <c r="AL14" s="80" t="str">
        <f>REPLACE(INDEX(GroupVertices[Group],MATCH(Vertices[[#This Row],[Vertex]],GroupVertices[Vertex],0)),1,1,"")</f>
        <v>3</v>
      </c>
      <c r="AM14" s="47">
        <v>0</v>
      </c>
      <c r="AN14" s="48">
        <v>0</v>
      </c>
      <c r="AO14" s="47">
        <v>0</v>
      </c>
      <c r="AP14" s="48">
        <v>0</v>
      </c>
      <c r="AQ14" s="47">
        <v>0</v>
      </c>
      <c r="AR14" s="48">
        <v>0</v>
      </c>
      <c r="AS14" s="47">
        <v>2</v>
      </c>
      <c r="AT14" s="48">
        <v>50</v>
      </c>
      <c r="AU14" s="47">
        <v>4</v>
      </c>
      <c r="AV14" s="118" t="s">
        <v>525</v>
      </c>
      <c r="AW14" s="118" t="s">
        <v>525</v>
      </c>
      <c r="AX14" s="118" t="s">
        <v>557</v>
      </c>
      <c r="AY14" s="118" t="s">
        <v>557</v>
      </c>
      <c r="AZ14" s="2"/>
    </row>
    <row r="15" spans="1:52" ht="15">
      <c r="A15" s="11" t="s">
        <v>229</v>
      </c>
      <c r="B15" s="12"/>
      <c r="C15" s="12"/>
      <c r="D15" s="82">
        <v>103.7433155080214</v>
      </c>
      <c r="E15" s="76"/>
      <c r="F15" s="101"/>
      <c r="G15" s="12"/>
      <c r="H15" s="13" t="s">
        <v>229</v>
      </c>
      <c r="I15" s="63"/>
      <c r="J15" s="63"/>
      <c r="K15" s="104" t="s">
        <v>229</v>
      </c>
      <c r="L15" s="83">
        <v>1031.563076923077</v>
      </c>
      <c r="M15" s="84">
        <v>4368.4794921875</v>
      </c>
      <c r="N15" s="84">
        <v>9682.3720703125</v>
      </c>
      <c r="O15" s="74"/>
      <c r="P15" s="85"/>
      <c r="Q15" s="85"/>
      <c r="R15" s="86"/>
      <c r="S15" s="47">
        <v>1</v>
      </c>
      <c r="T15" s="47">
        <v>1</v>
      </c>
      <c r="U15" s="48">
        <v>67</v>
      </c>
      <c r="V15" s="48">
        <v>0.272727</v>
      </c>
      <c r="W15" s="48">
        <v>0.185739</v>
      </c>
      <c r="X15" s="48">
        <v>0.027988</v>
      </c>
      <c r="Y15" s="48">
        <v>0</v>
      </c>
      <c r="Z15" s="48">
        <v>0</v>
      </c>
      <c r="AA15" s="77">
        <v>15</v>
      </c>
      <c r="AB15" s="77"/>
      <c r="AC15" s="87"/>
      <c r="AD15" s="80" t="s">
        <v>304</v>
      </c>
      <c r="AE15" s="103" t="str">
        <f>HYPERLINK("http://en.wikipedia.org/wiki/User:HexC3D")</f>
        <v>http://en.wikipedia.org/wiki/User:HexC3D</v>
      </c>
      <c r="AF15" s="80" t="s">
        <v>309</v>
      </c>
      <c r="AG15" s="80"/>
      <c r="AH15" s="80"/>
      <c r="AI15" s="80">
        <v>0.1666666</v>
      </c>
      <c r="AJ15" s="80">
        <v>3</v>
      </c>
      <c r="AK15" s="80"/>
      <c r="AL15" s="80" t="str">
        <f>REPLACE(INDEX(GroupVertices[Group],MATCH(Vertices[[#This Row],[Vertex]],GroupVertices[Vertex],0)),1,1,"")</f>
        <v>2</v>
      </c>
      <c r="AM15" s="47">
        <v>0</v>
      </c>
      <c r="AN15" s="48">
        <v>0</v>
      </c>
      <c r="AO15" s="47">
        <v>0</v>
      </c>
      <c r="AP15" s="48">
        <v>0</v>
      </c>
      <c r="AQ15" s="47">
        <v>0</v>
      </c>
      <c r="AR15" s="48">
        <v>0</v>
      </c>
      <c r="AS15" s="47">
        <v>5</v>
      </c>
      <c r="AT15" s="48">
        <v>55.55555555555556</v>
      </c>
      <c r="AU15" s="47">
        <v>9</v>
      </c>
      <c r="AV15" s="118" t="s">
        <v>526</v>
      </c>
      <c r="AW15" s="118" t="s">
        <v>526</v>
      </c>
      <c r="AX15" s="118" t="s">
        <v>558</v>
      </c>
      <c r="AY15" s="118" t="s">
        <v>558</v>
      </c>
      <c r="AZ15" s="2"/>
    </row>
    <row r="16" spans="1:52" ht="15">
      <c r="A16" s="11" t="s">
        <v>230</v>
      </c>
      <c r="B16" s="12"/>
      <c r="C16" s="12"/>
      <c r="D16" s="82">
        <v>68.44919786096257</v>
      </c>
      <c r="E16" s="76"/>
      <c r="F16" s="101"/>
      <c r="G16" s="12"/>
      <c r="H16" s="13" t="s">
        <v>230</v>
      </c>
      <c r="I16" s="63"/>
      <c r="J16" s="63"/>
      <c r="K16" s="104" t="s">
        <v>230</v>
      </c>
      <c r="L16" s="83">
        <v>354.7753846153846</v>
      </c>
      <c r="M16" s="84">
        <v>3905.4873046875</v>
      </c>
      <c r="N16" s="84">
        <v>8867.0224609375</v>
      </c>
      <c r="O16" s="74"/>
      <c r="P16" s="85"/>
      <c r="Q16" s="85"/>
      <c r="R16" s="86"/>
      <c r="S16" s="47">
        <v>1</v>
      </c>
      <c r="T16" s="47">
        <v>1</v>
      </c>
      <c r="U16" s="48">
        <v>23</v>
      </c>
      <c r="V16" s="48">
        <v>0.230769</v>
      </c>
      <c r="W16" s="48">
        <v>0.068589</v>
      </c>
      <c r="X16" s="48">
        <v>0.029231</v>
      </c>
      <c r="Y16" s="48">
        <v>0</v>
      </c>
      <c r="Z16" s="48">
        <v>0</v>
      </c>
      <c r="AA16" s="77">
        <v>16</v>
      </c>
      <c r="AB16" s="77"/>
      <c r="AC16" s="87"/>
      <c r="AD16" s="80" t="s">
        <v>304</v>
      </c>
      <c r="AE16" s="103" t="str">
        <f>HYPERLINK("http://en.wikipedia.org/wiki/User:KristinaAllen")</f>
        <v>http://en.wikipedia.org/wiki/User:KristinaAllen</v>
      </c>
      <c r="AF16" s="80" t="s">
        <v>309</v>
      </c>
      <c r="AG16" s="80"/>
      <c r="AH16" s="80"/>
      <c r="AI16" s="80">
        <v>0.5149425</v>
      </c>
      <c r="AJ16" s="80">
        <v>75</v>
      </c>
      <c r="AK16" s="80"/>
      <c r="AL16" s="80" t="str">
        <f>REPLACE(INDEX(GroupVertices[Group],MATCH(Vertices[[#This Row],[Vertex]],GroupVertices[Vertex],0)),1,1,"")</f>
        <v>2</v>
      </c>
      <c r="AM16" s="47">
        <v>0</v>
      </c>
      <c r="AN16" s="48">
        <v>0</v>
      </c>
      <c r="AO16" s="47">
        <v>0</v>
      </c>
      <c r="AP16" s="48">
        <v>0</v>
      </c>
      <c r="AQ16" s="47">
        <v>0</v>
      </c>
      <c r="AR16" s="48">
        <v>0</v>
      </c>
      <c r="AS16" s="47">
        <v>13</v>
      </c>
      <c r="AT16" s="48">
        <v>68.42105263157895</v>
      </c>
      <c r="AU16" s="47">
        <v>19</v>
      </c>
      <c r="AV16" s="118" t="s">
        <v>527</v>
      </c>
      <c r="AW16" s="118" t="s">
        <v>527</v>
      </c>
      <c r="AX16" s="118" t="s">
        <v>559</v>
      </c>
      <c r="AY16" s="118" t="s">
        <v>559</v>
      </c>
      <c r="AZ16" s="2"/>
    </row>
    <row r="17" spans="1:52" ht="15">
      <c r="A17" s="11" t="s">
        <v>231</v>
      </c>
      <c r="B17" s="12"/>
      <c r="C17" s="12"/>
      <c r="D17" s="82">
        <v>62.83422459893048</v>
      </c>
      <c r="E17" s="76"/>
      <c r="F17" s="101"/>
      <c r="G17" s="12"/>
      <c r="H17" s="13" t="s">
        <v>231</v>
      </c>
      <c r="I17" s="63"/>
      <c r="J17" s="63"/>
      <c r="K17" s="104" t="s">
        <v>231</v>
      </c>
      <c r="L17" s="83">
        <v>247.10461538461539</v>
      </c>
      <c r="M17" s="84">
        <v>3431.63037109375</v>
      </c>
      <c r="N17" s="84">
        <v>7889.06640625</v>
      </c>
      <c r="O17" s="74"/>
      <c r="P17" s="85"/>
      <c r="Q17" s="85"/>
      <c r="R17" s="86"/>
      <c r="S17" s="47">
        <v>1</v>
      </c>
      <c r="T17" s="47">
        <v>1</v>
      </c>
      <c r="U17" s="48">
        <v>16</v>
      </c>
      <c r="V17" s="48">
        <v>0.222973</v>
      </c>
      <c r="W17" s="48">
        <v>0.044123</v>
      </c>
      <c r="X17" s="48">
        <v>0.028425</v>
      </c>
      <c r="Y17" s="48">
        <v>0</v>
      </c>
      <c r="Z17" s="48">
        <v>0</v>
      </c>
      <c r="AA17" s="77">
        <v>17</v>
      </c>
      <c r="AB17" s="77"/>
      <c r="AC17" s="87"/>
      <c r="AD17" s="80" t="s">
        <v>304</v>
      </c>
      <c r="AE17" s="103" t="str">
        <f>HYPERLINK("http://en.wikipedia.org/wiki/User:Nat842")</f>
        <v>http://en.wikipedia.org/wiki/User:Nat842</v>
      </c>
      <c r="AF17" s="80" t="s">
        <v>309</v>
      </c>
      <c r="AG17" s="80"/>
      <c r="AH17" s="80"/>
      <c r="AI17" s="80">
        <v>0</v>
      </c>
      <c r="AJ17" s="80">
        <v>1</v>
      </c>
      <c r="AK17" s="80"/>
      <c r="AL17" s="80" t="str">
        <f>REPLACE(INDEX(GroupVertices[Group],MATCH(Vertices[[#This Row],[Vertex]],GroupVertices[Vertex],0)),1,1,"")</f>
        <v>2</v>
      </c>
      <c r="AM17" s="47">
        <v>0</v>
      </c>
      <c r="AN17" s="48">
        <v>0</v>
      </c>
      <c r="AO17" s="47">
        <v>0</v>
      </c>
      <c r="AP17" s="48">
        <v>0</v>
      </c>
      <c r="AQ17" s="47">
        <v>0</v>
      </c>
      <c r="AR17" s="48">
        <v>0</v>
      </c>
      <c r="AS17" s="47">
        <v>0</v>
      </c>
      <c r="AT17" s="48">
        <v>0</v>
      </c>
      <c r="AU17" s="47">
        <v>6</v>
      </c>
      <c r="AV17" s="118" t="s">
        <v>528</v>
      </c>
      <c r="AW17" s="118" t="s">
        <v>528</v>
      </c>
      <c r="AX17" s="118" t="s">
        <v>528</v>
      </c>
      <c r="AY17" s="118" t="s">
        <v>528</v>
      </c>
      <c r="AZ17" s="2"/>
    </row>
    <row r="18" spans="1:52" ht="15">
      <c r="A18" s="11" t="s">
        <v>232</v>
      </c>
      <c r="B18" s="12"/>
      <c r="C18" s="12"/>
      <c r="D18" s="82">
        <v>143.048128342246</v>
      </c>
      <c r="E18" s="76"/>
      <c r="F18" s="101"/>
      <c r="G18" s="12"/>
      <c r="H18" s="13" t="s">
        <v>232</v>
      </c>
      <c r="I18" s="63"/>
      <c r="J18" s="63"/>
      <c r="K18" s="104" t="s">
        <v>232</v>
      </c>
      <c r="L18" s="83">
        <v>1785.2584615384615</v>
      </c>
      <c r="M18" s="84">
        <v>3838.56103515625</v>
      </c>
      <c r="N18" s="84">
        <v>5944.4521484375</v>
      </c>
      <c r="O18" s="74"/>
      <c r="P18" s="85"/>
      <c r="Q18" s="85"/>
      <c r="R18" s="86"/>
      <c r="S18" s="47">
        <v>2</v>
      </c>
      <c r="T18" s="47">
        <v>2</v>
      </c>
      <c r="U18" s="48">
        <v>116</v>
      </c>
      <c r="V18" s="48">
        <v>0.268293</v>
      </c>
      <c r="W18" s="48">
        <v>0.077053</v>
      </c>
      <c r="X18" s="48">
        <v>0.029773</v>
      </c>
      <c r="Y18" s="48">
        <v>0</v>
      </c>
      <c r="Z18" s="48">
        <v>0</v>
      </c>
      <c r="AA18" s="77">
        <v>18</v>
      </c>
      <c r="AB18" s="77"/>
      <c r="AC18" s="87"/>
      <c r="AD18" s="80" t="s">
        <v>304</v>
      </c>
      <c r="AE18" s="103" t="str">
        <f>HYPERLINK("http://en.wikipedia.org/wiki/User:119.157.84.196")</f>
        <v>http://en.wikipedia.org/wiki/User:119.157.84.196</v>
      </c>
      <c r="AF18" s="80" t="s">
        <v>309</v>
      </c>
      <c r="AG18" s="80"/>
      <c r="AH18" s="80"/>
      <c r="AI18" s="80">
        <v>0</v>
      </c>
      <c r="AJ18" s="80">
        <v>2</v>
      </c>
      <c r="AK18" s="80"/>
      <c r="AL18" s="80" t="str">
        <f>REPLACE(INDEX(GroupVertices[Group],MATCH(Vertices[[#This Row],[Vertex]],GroupVertices[Vertex],0)),1,1,"")</f>
        <v>2</v>
      </c>
      <c r="AM18" s="47">
        <v>0</v>
      </c>
      <c r="AN18" s="48">
        <v>0</v>
      </c>
      <c r="AO18" s="47">
        <v>0</v>
      </c>
      <c r="AP18" s="48">
        <v>0</v>
      </c>
      <c r="AQ18" s="47">
        <v>0</v>
      </c>
      <c r="AR18" s="48">
        <v>0</v>
      </c>
      <c r="AS18" s="47">
        <v>9</v>
      </c>
      <c r="AT18" s="48">
        <v>81.81818181818181</v>
      </c>
      <c r="AU18" s="47">
        <v>11</v>
      </c>
      <c r="AV18" s="118" t="s">
        <v>529</v>
      </c>
      <c r="AW18" s="118" t="s">
        <v>529</v>
      </c>
      <c r="AX18" s="118" t="s">
        <v>560</v>
      </c>
      <c r="AY18" s="118" t="s">
        <v>560</v>
      </c>
      <c r="AZ18" s="2"/>
    </row>
    <row r="19" spans="1:52" ht="15">
      <c r="A19" s="11" t="s">
        <v>233</v>
      </c>
      <c r="B19" s="12"/>
      <c r="C19" s="12"/>
      <c r="D19" s="82">
        <v>163.1016042780749</v>
      </c>
      <c r="E19" s="76"/>
      <c r="F19" s="101"/>
      <c r="G19" s="12"/>
      <c r="H19" s="13" t="s">
        <v>233</v>
      </c>
      <c r="I19" s="63"/>
      <c r="J19" s="63"/>
      <c r="K19" s="104" t="s">
        <v>233</v>
      </c>
      <c r="L19" s="83">
        <v>2169.796923076923</v>
      </c>
      <c r="M19" s="84">
        <v>4649.216796875</v>
      </c>
      <c r="N19" s="84">
        <v>5087.7265625</v>
      </c>
      <c r="O19" s="74"/>
      <c r="P19" s="85"/>
      <c r="Q19" s="85"/>
      <c r="R19" s="86"/>
      <c r="S19" s="47">
        <v>1</v>
      </c>
      <c r="T19" s="47">
        <v>1</v>
      </c>
      <c r="U19" s="48">
        <v>141</v>
      </c>
      <c r="V19" s="48">
        <v>0.302752</v>
      </c>
      <c r="W19" s="48">
        <v>0.101888</v>
      </c>
      <c r="X19" s="48">
        <v>0.02736</v>
      </c>
      <c r="Y19" s="48">
        <v>0</v>
      </c>
      <c r="Z19" s="48">
        <v>0</v>
      </c>
      <c r="AA19" s="77">
        <v>19</v>
      </c>
      <c r="AB19" s="77"/>
      <c r="AC19" s="87"/>
      <c r="AD19" s="80" t="s">
        <v>304</v>
      </c>
      <c r="AE19" s="103" t="str">
        <f>HYPERLINK("http://en.wikipedia.org/wiki/User:103.174.85.71")</f>
        <v>http://en.wikipedia.org/wiki/User:103.174.85.71</v>
      </c>
      <c r="AF19" s="80" t="s">
        <v>309</v>
      </c>
      <c r="AG19" s="80"/>
      <c r="AH19" s="80"/>
      <c r="AI19" s="80">
        <v>0</v>
      </c>
      <c r="AJ19" s="80">
        <v>2</v>
      </c>
      <c r="AK19" s="80"/>
      <c r="AL19" s="80" t="str">
        <f>REPLACE(INDEX(GroupVertices[Group],MATCH(Vertices[[#This Row],[Vertex]],GroupVertices[Vertex],0)),1,1,"")</f>
        <v>2</v>
      </c>
      <c r="AM19" s="47">
        <v>0</v>
      </c>
      <c r="AN19" s="48">
        <v>0</v>
      </c>
      <c r="AO19" s="47">
        <v>0</v>
      </c>
      <c r="AP19" s="48">
        <v>0</v>
      </c>
      <c r="AQ19" s="47">
        <v>0</v>
      </c>
      <c r="AR19" s="48">
        <v>0</v>
      </c>
      <c r="AS19" s="47">
        <v>2</v>
      </c>
      <c r="AT19" s="48">
        <v>50</v>
      </c>
      <c r="AU19" s="47">
        <v>4</v>
      </c>
      <c r="AV19" s="118" t="s">
        <v>530</v>
      </c>
      <c r="AW19" s="118" t="s">
        <v>530</v>
      </c>
      <c r="AX19" s="118" t="s">
        <v>561</v>
      </c>
      <c r="AY19" s="118" t="s">
        <v>561</v>
      </c>
      <c r="AZ19" s="2"/>
    </row>
    <row r="20" spans="1:52" ht="15">
      <c r="A20" s="11" t="s">
        <v>234</v>
      </c>
      <c r="B20" s="12"/>
      <c r="C20" s="12"/>
      <c r="D20" s="82">
        <v>200</v>
      </c>
      <c r="E20" s="76"/>
      <c r="F20" s="101"/>
      <c r="G20" s="12"/>
      <c r="H20" s="13" t="s">
        <v>234</v>
      </c>
      <c r="I20" s="63"/>
      <c r="J20" s="63"/>
      <c r="K20" s="104" t="s">
        <v>234</v>
      </c>
      <c r="L20" s="83">
        <v>9999</v>
      </c>
      <c r="M20" s="84">
        <v>5557.97705078125</v>
      </c>
      <c r="N20" s="84">
        <v>2095.97802734375</v>
      </c>
      <c r="O20" s="74"/>
      <c r="P20" s="85"/>
      <c r="Q20" s="85"/>
      <c r="R20" s="86"/>
      <c r="S20" s="47">
        <v>4</v>
      </c>
      <c r="T20" s="47">
        <v>4</v>
      </c>
      <c r="U20" s="48">
        <v>650</v>
      </c>
      <c r="V20" s="48">
        <v>0.370787</v>
      </c>
      <c r="W20" s="48">
        <v>0.264418</v>
      </c>
      <c r="X20" s="48">
        <v>0.040666</v>
      </c>
      <c r="Y20" s="48">
        <v>0</v>
      </c>
      <c r="Z20" s="48">
        <v>0.14285714285714285</v>
      </c>
      <c r="AA20" s="77">
        <v>20</v>
      </c>
      <c r="AB20" s="77"/>
      <c r="AC20" s="87"/>
      <c r="AD20" s="80" t="s">
        <v>304</v>
      </c>
      <c r="AE20" s="103" t="str">
        <f>HYPERLINK("http://en.wikipedia.org/wiki/User:MrOllie")</f>
        <v>http://en.wikipedia.org/wiki/User:MrOllie</v>
      </c>
      <c r="AF20" s="80" t="s">
        <v>309</v>
      </c>
      <c r="AG20" s="80"/>
      <c r="AH20" s="80"/>
      <c r="AI20" s="80">
        <v>0.2070674</v>
      </c>
      <c r="AJ20" s="80">
        <v>500</v>
      </c>
      <c r="AK20" s="80"/>
      <c r="AL20" s="80" t="str">
        <f>REPLACE(INDEX(GroupVertices[Group],MATCH(Vertices[[#This Row],[Vertex]],GroupVertices[Vertex],0)),1,1,"")</f>
        <v>4</v>
      </c>
      <c r="AM20" s="47">
        <v>2</v>
      </c>
      <c r="AN20" s="48">
        <v>2.3529411764705883</v>
      </c>
      <c r="AO20" s="47">
        <v>0</v>
      </c>
      <c r="AP20" s="48">
        <v>0</v>
      </c>
      <c r="AQ20" s="47">
        <v>0</v>
      </c>
      <c r="AR20" s="48">
        <v>0</v>
      </c>
      <c r="AS20" s="47">
        <v>53</v>
      </c>
      <c r="AT20" s="48">
        <v>62.35294117647059</v>
      </c>
      <c r="AU20" s="47">
        <v>85</v>
      </c>
      <c r="AV20" s="118" t="s">
        <v>531</v>
      </c>
      <c r="AW20" s="118" t="s">
        <v>547</v>
      </c>
      <c r="AX20" s="118" t="s">
        <v>562</v>
      </c>
      <c r="AY20" s="118" t="s">
        <v>562</v>
      </c>
      <c r="AZ20" s="2"/>
    </row>
    <row r="21" spans="1:52" ht="15">
      <c r="A21" s="11" t="s">
        <v>235</v>
      </c>
      <c r="B21" s="12"/>
      <c r="C21" s="12"/>
      <c r="D21" s="82">
        <v>75.66844919786097</v>
      </c>
      <c r="E21" s="76"/>
      <c r="F21" s="101"/>
      <c r="G21" s="12"/>
      <c r="H21" s="13" t="s">
        <v>235</v>
      </c>
      <c r="I21" s="63"/>
      <c r="J21" s="63"/>
      <c r="K21" s="104" t="s">
        <v>235</v>
      </c>
      <c r="L21" s="83">
        <v>493.20923076923077</v>
      </c>
      <c r="M21" s="84">
        <v>6290.77783203125</v>
      </c>
      <c r="N21" s="84">
        <v>6175.85302734375</v>
      </c>
      <c r="O21" s="74"/>
      <c r="P21" s="85"/>
      <c r="Q21" s="85"/>
      <c r="R21" s="86"/>
      <c r="S21" s="47">
        <v>1</v>
      </c>
      <c r="T21" s="47">
        <v>1</v>
      </c>
      <c r="U21" s="48">
        <v>32</v>
      </c>
      <c r="V21" s="48">
        <v>0.308411</v>
      </c>
      <c r="W21" s="48">
        <v>0.140745</v>
      </c>
      <c r="X21" s="48">
        <v>0.027963</v>
      </c>
      <c r="Y21" s="48">
        <v>0</v>
      </c>
      <c r="Z21" s="48">
        <v>0</v>
      </c>
      <c r="AA21" s="77">
        <v>21</v>
      </c>
      <c r="AB21" s="77"/>
      <c r="AC21" s="87"/>
      <c r="AD21" s="80" t="s">
        <v>304</v>
      </c>
      <c r="AE21" s="103" t="str">
        <f>HYPERLINK("http://en.wikipedia.org/wiki/User:Yisqo")</f>
        <v>http://en.wikipedia.org/wiki/User:Yisqo</v>
      </c>
      <c r="AF21" s="80" t="s">
        <v>309</v>
      </c>
      <c r="AG21" s="80"/>
      <c r="AH21" s="80"/>
      <c r="AI21" s="80">
        <v>0.3333334</v>
      </c>
      <c r="AJ21" s="80">
        <v>10</v>
      </c>
      <c r="AK21" s="80"/>
      <c r="AL21" s="80" t="str">
        <f>REPLACE(INDEX(GroupVertices[Group],MATCH(Vertices[[#This Row],[Vertex]],GroupVertices[Vertex],0)),1,1,"")</f>
        <v>3</v>
      </c>
      <c r="AM21" s="47">
        <v>0</v>
      </c>
      <c r="AN21" s="48">
        <v>0</v>
      </c>
      <c r="AO21" s="47">
        <v>0</v>
      </c>
      <c r="AP21" s="48">
        <v>0</v>
      </c>
      <c r="AQ21" s="47">
        <v>0</v>
      </c>
      <c r="AR21" s="48">
        <v>0</v>
      </c>
      <c r="AS21" s="47">
        <v>2</v>
      </c>
      <c r="AT21" s="48">
        <v>20</v>
      </c>
      <c r="AU21" s="47">
        <v>10</v>
      </c>
      <c r="AV21" s="118" t="s">
        <v>532</v>
      </c>
      <c r="AW21" s="118" t="s">
        <v>532</v>
      </c>
      <c r="AX21" s="118" t="s">
        <v>563</v>
      </c>
      <c r="AY21" s="118" t="s">
        <v>563</v>
      </c>
      <c r="AZ21" s="2"/>
    </row>
    <row r="22" spans="1:52" ht="15">
      <c r="A22" s="11" t="s">
        <v>236</v>
      </c>
      <c r="B22" s="12"/>
      <c r="C22" s="12"/>
      <c r="D22" s="82">
        <v>70.85561497326204</v>
      </c>
      <c r="E22" s="76"/>
      <c r="F22" s="101"/>
      <c r="G22" s="12"/>
      <c r="H22" s="13" t="s">
        <v>236</v>
      </c>
      <c r="I22" s="63"/>
      <c r="J22" s="63"/>
      <c r="K22" s="104" t="s">
        <v>236</v>
      </c>
      <c r="L22" s="83">
        <v>400.92</v>
      </c>
      <c r="M22" s="84">
        <v>6791.37353515625</v>
      </c>
      <c r="N22" s="84">
        <v>7392.00732421875</v>
      </c>
      <c r="O22" s="74"/>
      <c r="P22" s="85"/>
      <c r="Q22" s="85"/>
      <c r="R22" s="86"/>
      <c r="S22" s="47">
        <v>1</v>
      </c>
      <c r="T22" s="47">
        <v>1</v>
      </c>
      <c r="U22" s="48">
        <v>26</v>
      </c>
      <c r="V22" s="48">
        <v>0.302752</v>
      </c>
      <c r="W22" s="48">
        <v>0.20727</v>
      </c>
      <c r="X22" s="48">
        <v>0.027893</v>
      </c>
      <c r="Y22" s="48">
        <v>0</v>
      </c>
      <c r="Z22" s="48">
        <v>0</v>
      </c>
      <c r="AA22" s="77">
        <v>22</v>
      </c>
      <c r="AB22" s="77"/>
      <c r="AC22" s="87"/>
      <c r="AD22" s="80" t="s">
        <v>304</v>
      </c>
      <c r="AE22" s="103" t="str">
        <f>HYPERLINK("http://en.wikipedia.org/wiki/User:106.77.180.86")</f>
        <v>http://en.wikipedia.org/wiki/User:106.77.180.86</v>
      </c>
      <c r="AF22" s="80" t="s">
        <v>309</v>
      </c>
      <c r="AG22" s="80"/>
      <c r="AH22" s="80"/>
      <c r="AI22" s="80">
        <v>0</v>
      </c>
      <c r="AJ22" s="80">
        <v>1</v>
      </c>
      <c r="AK22" s="80"/>
      <c r="AL22" s="80" t="str">
        <f>REPLACE(INDEX(GroupVertices[Group],MATCH(Vertices[[#This Row],[Vertex]],GroupVertices[Vertex],0)),1,1,"")</f>
        <v>3</v>
      </c>
      <c r="AM22" s="47">
        <v>0</v>
      </c>
      <c r="AN22" s="48">
        <v>0</v>
      </c>
      <c r="AO22" s="47">
        <v>0</v>
      </c>
      <c r="AP22" s="48">
        <v>0</v>
      </c>
      <c r="AQ22" s="47">
        <v>0</v>
      </c>
      <c r="AR22" s="48">
        <v>0</v>
      </c>
      <c r="AS22" s="47">
        <v>1</v>
      </c>
      <c r="AT22" s="48">
        <v>25</v>
      </c>
      <c r="AU22" s="47">
        <v>4</v>
      </c>
      <c r="AV22" s="118" t="s">
        <v>533</v>
      </c>
      <c r="AW22" s="118" t="s">
        <v>533</v>
      </c>
      <c r="AX22" s="118" t="s">
        <v>528</v>
      </c>
      <c r="AY22" s="118" t="s">
        <v>528</v>
      </c>
      <c r="AZ22" s="2"/>
    </row>
    <row r="23" spans="1:52" ht="15">
      <c r="A23" s="11" t="s">
        <v>237</v>
      </c>
      <c r="B23" s="12"/>
      <c r="C23" s="12"/>
      <c r="D23" s="82">
        <v>200</v>
      </c>
      <c r="E23" s="76"/>
      <c r="F23" s="101"/>
      <c r="G23" s="12"/>
      <c r="H23" s="13" t="s">
        <v>237</v>
      </c>
      <c r="I23" s="63"/>
      <c r="J23" s="63"/>
      <c r="K23" s="104" t="s">
        <v>237</v>
      </c>
      <c r="L23" s="83">
        <v>5276.867692307692</v>
      </c>
      <c r="M23" s="84">
        <v>9706.388671875</v>
      </c>
      <c r="N23" s="84">
        <v>8430.6142578125</v>
      </c>
      <c r="O23" s="74"/>
      <c r="P23" s="85"/>
      <c r="Q23" s="85"/>
      <c r="R23" s="86"/>
      <c r="S23" s="47">
        <v>1</v>
      </c>
      <c r="T23" s="47">
        <v>1</v>
      </c>
      <c r="U23" s="48">
        <v>343</v>
      </c>
      <c r="V23" s="48">
        <v>0.351064</v>
      </c>
      <c r="W23" s="48">
        <v>0.24417</v>
      </c>
      <c r="X23" s="48">
        <v>0.026667</v>
      </c>
      <c r="Y23" s="48">
        <v>0</v>
      </c>
      <c r="Z23" s="48">
        <v>0</v>
      </c>
      <c r="AA23" s="77">
        <v>23</v>
      </c>
      <c r="AB23" s="77"/>
      <c r="AC23" s="87"/>
      <c r="AD23" s="80" t="s">
        <v>304</v>
      </c>
      <c r="AE23" s="103" t="str">
        <f>HYPERLINK("http://en.wikipedia.org/wiki/User:223.123.112.63")</f>
        <v>http://en.wikipedia.org/wiki/User:223.123.112.63</v>
      </c>
      <c r="AF23" s="80" t="s">
        <v>309</v>
      </c>
      <c r="AG23" s="80"/>
      <c r="AH23" s="80"/>
      <c r="AI23" s="80">
        <v>0</v>
      </c>
      <c r="AJ23" s="80">
        <v>1</v>
      </c>
      <c r="AK23" s="80"/>
      <c r="AL23" s="80" t="str">
        <f>REPLACE(INDEX(GroupVertices[Group],MATCH(Vertices[[#This Row],[Vertex]],GroupVertices[Vertex],0)),1,1,"")</f>
        <v>3</v>
      </c>
      <c r="AM23" s="47">
        <v>0</v>
      </c>
      <c r="AN23" s="48">
        <v>0</v>
      </c>
      <c r="AO23" s="47">
        <v>0</v>
      </c>
      <c r="AP23" s="48">
        <v>0</v>
      </c>
      <c r="AQ23" s="47">
        <v>0</v>
      </c>
      <c r="AR23" s="48">
        <v>0</v>
      </c>
      <c r="AS23" s="47">
        <v>8</v>
      </c>
      <c r="AT23" s="48">
        <v>80</v>
      </c>
      <c r="AU23" s="47">
        <v>10</v>
      </c>
      <c r="AV23" s="118" t="s">
        <v>534</v>
      </c>
      <c r="AW23" s="118" t="s">
        <v>534</v>
      </c>
      <c r="AX23" s="118" t="s">
        <v>564</v>
      </c>
      <c r="AY23" s="118" t="s">
        <v>564</v>
      </c>
      <c r="AZ23" s="2"/>
    </row>
    <row r="24" spans="1:52" ht="15">
      <c r="A24" s="11" t="s">
        <v>238</v>
      </c>
      <c r="B24" s="12"/>
      <c r="C24" s="12"/>
      <c r="D24" s="82">
        <v>98.1283422459893</v>
      </c>
      <c r="E24" s="76"/>
      <c r="F24" s="101"/>
      <c r="G24" s="12"/>
      <c r="H24" s="13" t="s">
        <v>238</v>
      </c>
      <c r="I24" s="63"/>
      <c r="J24" s="63"/>
      <c r="K24" s="104" t="s">
        <v>238</v>
      </c>
      <c r="L24" s="83">
        <v>923.8923076923077</v>
      </c>
      <c r="M24" s="84">
        <v>7072.81005859375</v>
      </c>
      <c r="N24" s="84">
        <v>2270.56884765625</v>
      </c>
      <c r="O24" s="74"/>
      <c r="P24" s="85"/>
      <c r="Q24" s="85"/>
      <c r="R24" s="86"/>
      <c r="S24" s="47">
        <v>1</v>
      </c>
      <c r="T24" s="47">
        <v>1</v>
      </c>
      <c r="U24" s="48">
        <v>60</v>
      </c>
      <c r="V24" s="48">
        <v>0.279661</v>
      </c>
      <c r="W24" s="48">
        <v>0.090365</v>
      </c>
      <c r="X24" s="48">
        <v>0.028069</v>
      </c>
      <c r="Y24" s="48">
        <v>0</v>
      </c>
      <c r="Z24" s="48">
        <v>0</v>
      </c>
      <c r="AA24" s="77">
        <v>24</v>
      </c>
      <c r="AB24" s="77"/>
      <c r="AC24" s="87"/>
      <c r="AD24" s="80" t="s">
        <v>304</v>
      </c>
      <c r="AE24" s="103" t="str">
        <f>HYPERLINK("http://en.wikipedia.org/wiki/User:RudolfRed")</f>
        <v>http://en.wikipedia.org/wiki/User:RudolfRed</v>
      </c>
      <c r="AF24" s="80" t="s">
        <v>309</v>
      </c>
      <c r="AG24" s="80"/>
      <c r="AH24" s="80"/>
      <c r="AI24" s="80">
        <v>0.5737033</v>
      </c>
      <c r="AJ24" s="80">
        <v>500</v>
      </c>
      <c r="AK24" s="80"/>
      <c r="AL24" s="80" t="str">
        <f>REPLACE(INDEX(GroupVertices[Group],MATCH(Vertices[[#This Row],[Vertex]],GroupVertices[Vertex],0)),1,1,"")</f>
        <v>4</v>
      </c>
      <c r="AM24" s="47">
        <v>0</v>
      </c>
      <c r="AN24" s="48">
        <v>0</v>
      </c>
      <c r="AO24" s="47">
        <v>0</v>
      </c>
      <c r="AP24" s="48">
        <v>0</v>
      </c>
      <c r="AQ24" s="47">
        <v>0</v>
      </c>
      <c r="AR24" s="48">
        <v>0</v>
      </c>
      <c r="AS24" s="47">
        <v>2</v>
      </c>
      <c r="AT24" s="48">
        <v>25</v>
      </c>
      <c r="AU24" s="47">
        <v>8</v>
      </c>
      <c r="AV24" s="118" t="s">
        <v>532</v>
      </c>
      <c r="AW24" s="118" t="s">
        <v>532</v>
      </c>
      <c r="AX24" s="118" t="s">
        <v>563</v>
      </c>
      <c r="AY24" s="118" t="s">
        <v>563</v>
      </c>
      <c r="AZ24" s="2"/>
    </row>
    <row r="25" spans="1:52" ht="15">
      <c r="A25" s="11" t="s">
        <v>239</v>
      </c>
      <c r="B25" s="12"/>
      <c r="C25" s="12"/>
      <c r="D25" s="82">
        <v>51.60427807486631</v>
      </c>
      <c r="E25" s="76"/>
      <c r="F25" s="101"/>
      <c r="G25" s="12"/>
      <c r="H25" s="13" t="s">
        <v>239</v>
      </c>
      <c r="I25" s="63"/>
      <c r="J25" s="63"/>
      <c r="K25" s="104" t="s">
        <v>239</v>
      </c>
      <c r="L25" s="83">
        <v>31.763076923076923</v>
      </c>
      <c r="M25" s="84">
        <v>7493.94287109375</v>
      </c>
      <c r="N25" s="84">
        <v>4641.38671875</v>
      </c>
      <c r="O25" s="74"/>
      <c r="P25" s="85"/>
      <c r="Q25" s="85"/>
      <c r="R25" s="86"/>
      <c r="S25" s="47">
        <v>1</v>
      </c>
      <c r="T25" s="47">
        <v>1</v>
      </c>
      <c r="U25" s="48">
        <v>2</v>
      </c>
      <c r="V25" s="48">
        <v>0.22449</v>
      </c>
      <c r="W25" s="48">
        <v>0.038433</v>
      </c>
      <c r="X25" s="48">
        <v>0.029303</v>
      </c>
      <c r="Y25" s="48">
        <v>0</v>
      </c>
      <c r="Z25" s="48">
        <v>0</v>
      </c>
      <c r="AA25" s="77">
        <v>25</v>
      </c>
      <c r="AB25" s="77"/>
      <c r="AC25" s="87"/>
      <c r="AD25" s="80" t="s">
        <v>304</v>
      </c>
      <c r="AE25" s="103" t="str">
        <f>HYPERLINK("http://en.wikipedia.org/wiki/User:AnomieBOT")</f>
        <v>http://en.wikipedia.org/wiki/User:AnomieBOT</v>
      </c>
      <c r="AF25" s="80" t="s">
        <v>309</v>
      </c>
      <c r="AG25" s="80"/>
      <c r="AH25" s="80"/>
      <c r="AI25" s="80">
        <v>0.07529008</v>
      </c>
      <c r="AJ25" s="80">
        <v>500</v>
      </c>
      <c r="AK25" s="80"/>
      <c r="AL25" s="80" t="str">
        <f>REPLACE(INDEX(GroupVertices[Group],MATCH(Vertices[[#This Row],[Vertex]],GroupVertices[Vertex],0)),1,1,"")</f>
        <v>4</v>
      </c>
      <c r="AM25" s="47">
        <v>0</v>
      </c>
      <c r="AN25" s="48">
        <v>0</v>
      </c>
      <c r="AO25" s="47">
        <v>0</v>
      </c>
      <c r="AP25" s="48">
        <v>0</v>
      </c>
      <c r="AQ25" s="47">
        <v>0</v>
      </c>
      <c r="AR25" s="48">
        <v>0</v>
      </c>
      <c r="AS25" s="47">
        <v>10</v>
      </c>
      <c r="AT25" s="48">
        <v>71.42857142857143</v>
      </c>
      <c r="AU25" s="47">
        <v>14</v>
      </c>
      <c r="AV25" s="118" t="s">
        <v>535</v>
      </c>
      <c r="AW25" s="118" t="s">
        <v>535</v>
      </c>
      <c r="AX25" s="118" t="s">
        <v>565</v>
      </c>
      <c r="AY25" s="118" t="s">
        <v>565</v>
      </c>
      <c r="AZ25" s="2"/>
    </row>
    <row r="26" spans="1:52" ht="15">
      <c r="A26" s="11" t="s">
        <v>240</v>
      </c>
      <c r="B26" s="12"/>
      <c r="C26" s="12"/>
      <c r="D26" s="82">
        <v>51.60427807486631</v>
      </c>
      <c r="E26" s="76"/>
      <c r="F26" s="101"/>
      <c r="G26" s="12"/>
      <c r="H26" s="13" t="s">
        <v>240</v>
      </c>
      <c r="I26" s="63"/>
      <c r="J26" s="63"/>
      <c r="K26" s="104" t="s">
        <v>240</v>
      </c>
      <c r="L26" s="83">
        <v>31.763076923076923</v>
      </c>
      <c r="M26" s="84">
        <v>6247.150390625</v>
      </c>
      <c r="N26" s="84">
        <v>5999.39990234375</v>
      </c>
      <c r="O26" s="74"/>
      <c r="P26" s="85"/>
      <c r="Q26" s="85"/>
      <c r="R26" s="86"/>
      <c r="S26" s="47">
        <v>1</v>
      </c>
      <c r="T26" s="47">
        <v>1</v>
      </c>
      <c r="U26" s="48">
        <v>2</v>
      </c>
      <c r="V26" s="48">
        <v>0.22449</v>
      </c>
      <c r="W26" s="48">
        <v>0.038433</v>
      </c>
      <c r="X26" s="48">
        <v>0.029303</v>
      </c>
      <c r="Y26" s="48">
        <v>0</v>
      </c>
      <c r="Z26" s="48">
        <v>0</v>
      </c>
      <c r="AA26" s="77">
        <v>26</v>
      </c>
      <c r="AB26" s="77"/>
      <c r="AC26" s="87"/>
      <c r="AD26" s="80" t="s">
        <v>304</v>
      </c>
      <c r="AE26" s="103" t="str">
        <f>HYPERLINK("http://en.wikipedia.org/wiki/User:99.229.43.127")</f>
        <v>http://en.wikipedia.org/wiki/User:99.229.43.127</v>
      </c>
      <c r="AF26" s="80" t="s">
        <v>309</v>
      </c>
      <c r="AG26" s="80"/>
      <c r="AH26" s="80"/>
      <c r="AI26" s="80">
        <v>0.1859903</v>
      </c>
      <c r="AJ26" s="80">
        <v>23</v>
      </c>
      <c r="AK26" s="80"/>
      <c r="AL26" s="80" t="str">
        <f>REPLACE(INDEX(GroupVertices[Group],MATCH(Vertices[[#This Row],[Vertex]],GroupVertices[Vertex],0)),1,1,"")</f>
        <v>4</v>
      </c>
      <c r="AM26" s="47">
        <v>0</v>
      </c>
      <c r="AN26" s="48">
        <v>0</v>
      </c>
      <c r="AO26" s="47">
        <v>0</v>
      </c>
      <c r="AP26" s="48">
        <v>0</v>
      </c>
      <c r="AQ26" s="47">
        <v>0</v>
      </c>
      <c r="AR26" s="48">
        <v>0</v>
      </c>
      <c r="AS26" s="47">
        <v>3</v>
      </c>
      <c r="AT26" s="48">
        <v>33.333333333333336</v>
      </c>
      <c r="AU26" s="47">
        <v>9</v>
      </c>
      <c r="AV26" s="118" t="s">
        <v>536</v>
      </c>
      <c r="AW26" s="118" t="s">
        <v>536</v>
      </c>
      <c r="AX26" s="118" t="s">
        <v>566</v>
      </c>
      <c r="AY26" s="118" t="s">
        <v>566</v>
      </c>
      <c r="AZ26" s="2"/>
    </row>
    <row r="27" spans="1:52" ht="15">
      <c r="A27" s="11" t="s">
        <v>241</v>
      </c>
      <c r="B27" s="12"/>
      <c r="C27" s="12"/>
      <c r="D27" s="82">
        <v>98.1283422459893</v>
      </c>
      <c r="E27" s="76"/>
      <c r="F27" s="101"/>
      <c r="G27" s="12"/>
      <c r="H27" s="13" t="s">
        <v>241</v>
      </c>
      <c r="I27" s="63"/>
      <c r="J27" s="63"/>
      <c r="K27" s="104" t="s">
        <v>241</v>
      </c>
      <c r="L27" s="83">
        <v>923.8923076923077</v>
      </c>
      <c r="M27" s="84">
        <v>5072.2880859375</v>
      </c>
      <c r="N27" s="84">
        <v>4449.54833984375</v>
      </c>
      <c r="O27" s="74"/>
      <c r="P27" s="85"/>
      <c r="Q27" s="85"/>
      <c r="R27" s="86"/>
      <c r="S27" s="47">
        <v>1</v>
      </c>
      <c r="T27" s="47">
        <v>1</v>
      </c>
      <c r="U27" s="48">
        <v>60</v>
      </c>
      <c r="V27" s="48">
        <v>0.279661</v>
      </c>
      <c r="W27" s="48">
        <v>0.090365</v>
      </c>
      <c r="X27" s="48">
        <v>0.028069</v>
      </c>
      <c r="Y27" s="48">
        <v>0</v>
      </c>
      <c r="Z27" s="48">
        <v>0</v>
      </c>
      <c r="AA27" s="77">
        <v>27</v>
      </c>
      <c r="AB27" s="77"/>
      <c r="AC27" s="87"/>
      <c r="AD27" s="80" t="s">
        <v>304</v>
      </c>
      <c r="AE27" s="103" t="str">
        <f>HYPERLINK("http://en.wikipedia.org/wiki/User:223.123.15.93")</f>
        <v>http://en.wikipedia.org/wiki/User:223.123.15.93</v>
      </c>
      <c r="AF27" s="80" t="s">
        <v>309</v>
      </c>
      <c r="AG27" s="80"/>
      <c r="AH27" s="80"/>
      <c r="AI27" s="80">
        <v>0</v>
      </c>
      <c r="AJ27" s="80">
        <v>1</v>
      </c>
      <c r="AK27" s="80"/>
      <c r="AL27" s="80" t="str">
        <f>REPLACE(INDEX(GroupVertices[Group],MATCH(Vertices[[#This Row],[Vertex]],GroupVertices[Vertex],0)),1,1,"")</f>
        <v>4</v>
      </c>
      <c r="AM27" s="47">
        <v>0</v>
      </c>
      <c r="AN27" s="48">
        <v>0</v>
      </c>
      <c r="AO27" s="47">
        <v>0</v>
      </c>
      <c r="AP27" s="48">
        <v>0</v>
      </c>
      <c r="AQ27" s="47">
        <v>0</v>
      </c>
      <c r="AR27" s="48">
        <v>0</v>
      </c>
      <c r="AS27" s="47">
        <v>1</v>
      </c>
      <c r="AT27" s="48">
        <v>33.333333333333336</v>
      </c>
      <c r="AU27" s="47">
        <v>3</v>
      </c>
      <c r="AV27" s="118" t="s">
        <v>537</v>
      </c>
      <c r="AW27" s="118" t="s">
        <v>537</v>
      </c>
      <c r="AX27" s="118" t="s">
        <v>528</v>
      </c>
      <c r="AY27" s="118" t="s">
        <v>528</v>
      </c>
      <c r="AZ27" s="2"/>
    </row>
    <row r="28" spans="1:52" ht="15">
      <c r="A28" s="11" t="s">
        <v>242</v>
      </c>
      <c r="B28" s="12"/>
      <c r="C28" s="12"/>
      <c r="D28" s="82">
        <v>50</v>
      </c>
      <c r="E28" s="76"/>
      <c r="F28" s="101"/>
      <c r="G28" s="12"/>
      <c r="H28" s="13" t="s">
        <v>242</v>
      </c>
      <c r="I28" s="63"/>
      <c r="J28" s="63"/>
      <c r="K28" s="104" t="s">
        <v>242</v>
      </c>
      <c r="L28" s="83">
        <v>1</v>
      </c>
      <c r="M28" s="84">
        <v>4776.59228515625</v>
      </c>
      <c r="N28" s="84">
        <v>246.78982543945312</v>
      </c>
      <c r="O28" s="74"/>
      <c r="P28" s="85"/>
      <c r="Q28" s="85"/>
      <c r="R28" s="86"/>
      <c r="S28" s="47">
        <v>1</v>
      </c>
      <c r="T28" s="47">
        <v>1</v>
      </c>
      <c r="U28" s="48">
        <v>0</v>
      </c>
      <c r="V28" s="48">
        <v>0.272727</v>
      </c>
      <c r="W28" s="48">
        <v>0.078897</v>
      </c>
      <c r="X28" s="48">
        <v>0.025871</v>
      </c>
      <c r="Y28" s="48">
        <v>0</v>
      </c>
      <c r="Z28" s="48">
        <v>1</v>
      </c>
      <c r="AA28" s="77">
        <v>28</v>
      </c>
      <c r="AB28" s="77"/>
      <c r="AC28" s="87"/>
      <c r="AD28" s="80" t="s">
        <v>304</v>
      </c>
      <c r="AE28" s="103" t="str">
        <f>HYPERLINK("http://en.wikipedia.org/wiki/User:223.123.10.107")</f>
        <v>http://en.wikipedia.org/wiki/User:223.123.10.107</v>
      </c>
      <c r="AF28" s="80" t="s">
        <v>309</v>
      </c>
      <c r="AG28" s="80"/>
      <c r="AH28" s="80"/>
      <c r="AI28" s="80">
        <v>0</v>
      </c>
      <c r="AJ28" s="80">
        <v>1</v>
      </c>
      <c r="AK28" s="80"/>
      <c r="AL28" s="80" t="str">
        <f>REPLACE(INDEX(GroupVertices[Group],MATCH(Vertices[[#This Row],[Vertex]],GroupVertices[Vertex],0)),1,1,"")</f>
        <v>4</v>
      </c>
      <c r="AM28" s="47">
        <v>0</v>
      </c>
      <c r="AN28" s="48">
        <v>0</v>
      </c>
      <c r="AO28" s="47">
        <v>0</v>
      </c>
      <c r="AP28" s="48">
        <v>0</v>
      </c>
      <c r="AQ28" s="47">
        <v>0</v>
      </c>
      <c r="AR28" s="48">
        <v>0</v>
      </c>
      <c r="AS28" s="47">
        <v>1</v>
      </c>
      <c r="AT28" s="48">
        <v>33.333333333333336</v>
      </c>
      <c r="AU28" s="47">
        <v>3</v>
      </c>
      <c r="AV28" s="118" t="s">
        <v>538</v>
      </c>
      <c r="AW28" s="118" t="s">
        <v>538</v>
      </c>
      <c r="AX28" s="118" t="s">
        <v>528</v>
      </c>
      <c r="AY28" s="118" t="s">
        <v>528</v>
      </c>
      <c r="AZ28" s="2"/>
    </row>
    <row r="29" spans="1:52" ht="15">
      <c r="A29" s="11" t="s">
        <v>243</v>
      </c>
      <c r="B29" s="12"/>
      <c r="C29" s="12"/>
      <c r="D29" s="82">
        <v>200</v>
      </c>
      <c r="E29" s="76"/>
      <c r="F29" s="101"/>
      <c r="G29" s="12"/>
      <c r="H29" s="13" t="s">
        <v>243</v>
      </c>
      <c r="I29" s="63"/>
      <c r="J29" s="63"/>
      <c r="K29" s="104" t="s">
        <v>243</v>
      </c>
      <c r="L29" s="83">
        <v>5599.88</v>
      </c>
      <c r="M29" s="84">
        <v>4649.216796875</v>
      </c>
      <c r="N29" s="84">
        <v>1896.3665771484375</v>
      </c>
      <c r="O29" s="74"/>
      <c r="P29" s="85"/>
      <c r="Q29" s="85"/>
      <c r="R29" s="86"/>
      <c r="S29" s="47">
        <v>2</v>
      </c>
      <c r="T29" s="47">
        <v>2</v>
      </c>
      <c r="U29" s="48">
        <v>364</v>
      </c>
      <c r="V29" s="48">
        <v>0.308411</v>
      </c>
      <c r="W29" s="48">
        <v>0.139699</v>
      </c>
      <c r="X29" s="48">
        <v>0.028507</v>
      </c>
      <c r="Y29" s="48">
        <v>0</v>
      </c>
      <c r="Z29" s="48">
        <v>0</v>
      </c>
      <c r="AA29" s="77">
        <v>29</v>
      </c>
      <c r="AB29" s="77"/>
      <c r="AC29" s="87"/>
      <c r="AD29" s="80" t="s">
        <v>304</v>
      </c>
      <c r="AE29" s="103" t="str">
        <f>HYPERLINK("http://en.wikipedia.org/wiki/User:Mahdialjumcale")</f>
        <v>http://en.wikipedia.org/wiki/User:Mahdialjumcale</v>
      </c>
      <c r="AF29" s="80" t="s">
        <v>309</v>
      </c>
      <c r="AG29" s="80"/>
      <c r="AH29" s="80"/>
      <c r="AI29" s="80">
        <v>0</v>
      </c>
      <c r="AJ29" s="80">
        <v>3</v>
      </c>
      <c r="AK29" s="80"/>
      <c r="AL29" s="80" t="str">
        <f>REPLACE(INDEX(GroupVertices[Group],MATCH(Vertices[[#This Row],[Vertex]],GroupVertices[Vertex],0)),1,1,"")</f>
        <v>1</v>
      </c>
      <c r="AM29" s="47">
        <v>0</v>
      </c>
      <c r="AN29" s="48">
        <v>0</v>
      </c>
      <c r="AO29" s="47">
        <v>0</v>
      </c>
      <c r="AP29" s="48">
        <v>0</v>
      </c>
      <c r="AQ29" s="47">
        <v>0</v>
      </c>
      <c r="AR29" s="48">
        <v>0</v>
      </c>
      <c r="AS29" s="47">
        <v>4</v>
      </c>
      <c r="AT29" s="48">
        <v>57.142857142857146</v>
      </c>
      <c r="AU29" s="47">
        <v>7</v>
      </c>
      <c r="AV29" s="118" t="s">
        <v>539</v>
      </c>
      <c r="AW29" s="118" t="s">
        <v>539</v>
      </c>
      <c r="AX29" s="118" t="s">
        <v>482</v>
      </c>
      <c r="AY29" s="118" t="s">
        <v>482</v>
      </c>
      <c r="AZ29" s="2"/>
    </row>
    <row r="30" spans="1:52" ht="15">
      <c r="A30" s="11" t="s">
        <v>244</v>
      </c>
      <c r="B30" s="12"/>
      <c r="C30" s="12"/>
      <c r="D30" s="82">
        <v>200</v>
      </c>
      <c r="E30" s="76"/>
      <c r="F30" s="101"/>
      <c r="G30" s="12"/>
      <c r="H30" s="13" t="s">
        <v>244</v>
      </c>
      <c r="I30" s="63"/>
      <c r="J30" s="63"/>
      <c r="K30" s="104" t="s">
        <v>244</v>
      </c>
      <c r="L30" s="83">
        <v>5261.486153846154</v>
      </c>
      <c r="M30" s="84">
        <v>2899.225830078125</v>
      </c>
      <c r="N30" s="84">
        <v>2268.10595703125</v>
      </c>
      <c r="O30" s="74"/>
      <c r="P30" s="85"/>
      <c r="Q30" s="85"/>
      <c r="R30" s="86"/>
      <c r="S30" s="47">
        <v>2</v>
      </c>
      <c r="T30" s="47">
        <v>2</v>
      </c>
      <c r="U30" s="48">
        <v>342</v>
      </c>
      <c r="V30" s="48">
        <v>0.259843</v>
      </c>
      <c r="W30" s="48">
        <v>0.064065</v>
      </c>
      <c r="X30" s="48">
        <v>0.032276</v>
      </c>
      <c r="Y30" s="48">
        <v>0</v>
      </c>
      <c r="Z30" s="48">
        <v>0</v>
      </c>
      <c r="AA30" s="77">
        <v>30</v>
      </c>
      <c r="AB30" s="77"/>
      <c r="AC30" s="87"/>
      <c r="AD30" s="80" t="s">
        <v>304</v>
      </c>
      <c r="AE30" s="103" t="str">
        <f>HYPERLINK("http://en.wikipedia.org/wiki/User:Belbury")</f>
        <v>http://en.wikipedia.org/wiki/User:Belbury</v>
      </c>
      <c r="AF30" s="80" t="s">
        <v>309</v>
      </c>
      <c r="AG30" s="80"/>
      <c r="AH30" s="80"/>
      <c r="AI30" s="80">
        <v>0.2412808</v>
      </c>
      <c r="AJ30" s="80">
        <v>500</v>
      </c>
      <c r="AK30" s="80"/>
      <c r="AL30" s="80" t="str">
        <f>REPLACE(INDEX(GroupVertices[Group],MATCH(Vertices[[#This Row],[Vertex]],GroupVertices[Vertex],0)),1,1,"")</f>
        <v>1</v>
      </c>
      <c r="AM30" s="47">
        <v>0</v>
      </c>
      <c r="AN30" s="48">
        <v>0</v>
      </c>
      <c r="AO30" s="47">
        <v>0</v>
      </c>
      <c r="AP30" s="48">
        <v>0</v>
      </c>
      <c r="AQ30" s="47">
        <v>0</v>
      </c>
      <c r="AR30" s="48">
        <v>0</v>
      </c>
      <c r="AS30" s="47">
        <v>22</v>
      </c>
      <c r="AT30" s="48">
        <v>55</v>
      </c>
      <c r="AU30" s="47">
        <v>40</v>
      </c>
      <c r="AV30" s="118" t="s">
        <v>540</v>
      </c>
      <c r="AW30" s="118" t="s">
        <v>548</v>
      </c>
      <c r="AX30" s="118" t="s">
        <v>567</v>
      </c>
      <c r="AY30" s="118" t="s">
        <v>572</v>
      </c>
      <c r="AZ30" s="2"/>
    </row>
    <row r="31" spans="1:52" ht="15">
      <c r="A31" s="11" t="s">
        <v>245</v>
      </c>
      <c r="B31" s="12"/>
      <c r="C31" s="12"/>
      <c r="D31" s="82">
        <v>98.1283422459893</v>
      </c>
      <c r="E31" s="76"/>
      <c r="F31" s="101"/>
      <c r="G31" s="12"/>
      <c r="H31" s="13" t="s">
        <v>245</v>
      </c>
      <c r="I31" s="63"/>
      <c r="J31" s="63"/>
      <c r="K31" s="104" t="s">
        <v>245</v>
      </c>
      <c r="L31" s="83">
        <v>923.8923076923077</v>
      </c>
      <c r="M31" s="84">
        <v>2726.392333984375</v>
      </c>
      <c r="N31" s="84">
        <v>870.95458984375</v>
      </c>
      <c r="O31" s="74"/>
      <c r="P31" s="85"/>
      <c r="Q31" s="85"/>
      <c r="R31" s="86"/>
      <c r="S31" s="47">
        <v>1</v>
      </c>
      <c r="T31" s="47">
        <v>1</v>
      </c>
      <c r="U31" s="48">
        <v>60</v>
      </c>
      <c r="V31" s="48">
        <v>0.211538</v>
      </c>
      <c r="W31" s="48">
        <v>0.021895</v>
      </c>
      <c r="X31" s="48">
        <v>0.02841</v>
      </c>
      <c r="Y31" s="48">
        <v>0</v>
      </c>
      <c r="Z31" s="48">
        <v>0</v>
      </c>
      <c r="AA31" s="77">
        <v>31</v>
      </c>
      <c r="AB31" s="77"/>
      <c r="AC31" s="87"/>
      <c r="AD31" s="80" t="s">
        <v>304</v>
      </c>
      <c r="AE31" s="103" t="str">
        <f>HYPERLINK("http://en.wikipedia.org/wiki/User:Student20232")</f>
        <v>http://en.wikipedia.org/wiki/User:Student20232</v>
      </c>
      <c r="AF31" s="80" t="s">
        <v>309</v>
      </c>
      <c r="AG31" s="80"/>
      <c r="AH31" s="80"/>
      <c r="AI31" s="80">
        <v>0</v>
      </c>
      <c r="AJ31" s="80">
        <v>1</v>
      </c>
      <c r="AK31" s="80"/>
      <c r="AL31" s="80" t="str">
        <f>REPLACE(INDEX(GroupVertices[Group],MATCH(Vertices[[#This Row],[Vertex]],GroupVertices[Vertex],0)),1,1,"")</f>
        <v>1</v>
      </c>
      <c r="AM31" s="47"/>
      <c r="AN31" s="48"/>
      <c r="AO31" s="47"/>
      <c r="AP31" s="48"/>
      <c r="AQ31" s="47"/>
      <c r="AR31" s="48"/>
      <c r="AS31" s="47"/>
      <c r="AT31" s="48"/>
      <c r="AU31" s="47"/>
      <c r="AV31" s="118" t="s">
        <v>528</v>
      </c>
      <c r="AW31" s="118" t="s">
        <v>528</v>
      </c>
      <c r="AX31" s="118" t="s">
        <v>528</v>
      </c>
      <c r="AY31" s="118" t="s">
        <v>528</v>
      </c>
      <c r="AZ31" s="2"/>
    </row>
    <row r="32" spans="1:52" ht="15">
      <c r="A32" s="11" t="s">
        <v>246</v>
      </c>
      <c r="B32" s="12"/>
      <c r="C32" s="12"/>
      <c r="D32" s="82">
        <v>51.60427807486631</v>
      </c>
      <c r="E32" s="76"/>
      <c r="F32" s="101"/>
      <c r="G32" s="12"/>
      <c r="H32" s="13" t="s">
        <v>246</v>
      </c>
      <c r="I32" s="63"/>
      <c r="J32" s="63"/>
      <c r="K32" s="104" t="s">
        <v>246</v>
      </c>
      <c r="L32" s="83">
        <v>31.763076923076923</v>
      </c>
      <c r="M32" s="84">
        <v>1245.69921875</v>
      </c>
      <c r="N32" s="84">
        <v>249.3135528564453</v>
      </c>
      <c r="O32" s="74"/>
      <c r="P32" s="85"/>
      <c r="Q32" s="85"/>
      <c r="R32" s="86"/>
      <c r="S32" s="47">
        <v>1</v>
      </c>
      <c r="T32" s="47">
        <v>1</v>
      </c>
      <c r="U32" s="48">
        <v>2</v>
      </c>
      <c r="V32" s="48">
        <v>0.178378</v>
      </c>
      <c r="W32" s="48">
        <v>0.009312</v>
      </c>
      <c r="X32" s="48">
        <v>0.029331</v>
      </c>
      <c r="Y32" s="48">
        <v>0</v>
      </c>
      <c r="Z32" s="48">
        <v>0</v>
      </c>
      <c r="AA32" s="77">
        <v>32</v>
      </c>
      <c r="AB32" s="77"/>
      <c r="AC32" s="87"/>
      <c r="AD32" s="80" t="s">
        <v>304</v>
      </c>
      <c r="AE32" s="103" t="str">
        <f>HYPERLINK("http://en.wikipedia.org/wiki/User:Sunriseandsunsettttt")</f>
        <v>http://en.wikipedia.org/wiki/User:Sunriseandsunsettttt</v>
      </c>
      <c r="AF32" s="80" t="s">
        <v>309</v>
      </c>
      <c r="AG32" s="80"/>
      <c r="AH32" s="80"/>
      <c r="AI32" s="80">
        <v>0</v>
      </c>
      <c r="AJ32" s="80">
        <v>1</v>
      </c>
      <c r="AK32" s="80"/>
      <c r="AL32" s="80" t="str">
        <f>REPLACE(INDEX(GroupVertices[Group],MATCH(Vertices[[#This Row],[Vertex]],GroupVertices[Vertex],0)),1,1,"")</f>
        <v>1</v>
      </c>
      <c r="AM32" s="47"/>
      <c r="AN32" s="48"/>
      <c r="AO32" s="47"/>
      <c r="AP32" s="48"/>
      <c r="AQ32" s="47"/>
      <c r="AR32" s="48"/>
      <c r="AS32" s="47"/>
      <c r="AT32" s="48"/>
      <c r="AU32" s="47"/>
      <c r="AV32" s="118" t="s">
        <v>528</v>
      </c>
      <c r="AW32" s="118" t="s">
        <v>528</v>
      </c>
      <c r="AX32" s="118" t="s">
        <v>528</v>
      </c>
      <c r="AY32" s="118" t="s">
        <v>528</v>
      </c>
      <c r="AZ32" s="2"/>
    </row>
    <row r="33" spans="1:52" ht="15">
      <c r="A33" s="11" t="s">
        <v>247</v>
      </c>
      <c r="B33" s="12"/>
      <c r="C33" s="12"/>
      <c r="D33" s="82">
        <v>51.60427807486631</v>
      </c>
      <c r="E33" s="76"/>
      <c r="F33" s="101"/>
      <c r="G33" s="12"/>
      <c r="H33" s="13" t="s">
        <v>247</v>
      </c>
      <c r="I33" s="63"/>
      <c r="J33" s="63"/>
      <c r="K33" s="104" t="s">
        <v>247</v>
      </c>
      <c r="L33" s="83">
        <v>31.763076923076923</v>
      </c>
      <c r="M33" s="84">
        <v>179.9714813232422</v>
      </c>
      <c r="N33" s="84">
        <v>1161.6700439453125</v>
      </c>
      <c r="O33" s="74"/>
      <c r="P33" s="85"/>
      <c r="Q33" s="85"/>
      <c r="R33" s="86"/>
      <c r="S33" s="47">
        <v>1</v>
      </c>
      <c r="T33" s="47">
        <v>1</v>
      </c>
      <c r="U33" s="48">
        <v>2</v>
      </c>
      <c r="V33" s="48">
        <v>0.178378</v>
      </c>
      <c r="W33" s="48">
        <v>0.009312</v>
      </c>
      <c r="X33" s="48">
        <v>0.029331</v>
      </c>
      <c r="Y33" s="48">
        <v>0</v>
      </c>
      <c r="Z33" s="48">
        <v>0</v>
      </c>
      <c r="AA33" s="77">
        <v>33</v>
      </c>
      <c r="AB33" s="77"/>
      <c r="AC33" s="87"/>
      <c r="AD33" s="80" t="s">
        <v>304</v>
      </c>
      <c r="AE33" s="80" t="s">
        <v>307</v>
      </c>
      <c r="AF33" s="80" t="s">
        <v>309</v>
      </c>
      <c r="AG33" s="80"/>
      <c r="AH33" s="80"/>
      <c r="AI33" s="80">
        <v>0.1789287</v>
      </c>
      <c r="AJ33" s="80">
        <v>500</v>
      </c>
      <c r="AK33" s="80"/>
      <c r="AL33" s="80" t="str">
        <f>REPLACE(INDEX(GroupVertices[Group],MATCH(Vertices[[#This Row],[Vertex]],GroupVertices[Vertex],0)),1,1,"")</f>
        <v>1</v>
      </c>
      <c r="AM33" s="47">
        <v>1</v>
      </c>
      <c r="AN33" s="48">
        <v>7.142857142857143</v>
      </c>
      <c r="AO33" s="47">
        <v>0</v>
      </c>
      <c r="AP33" s="48">
        <v>0</v>
      </c>
      <c r="AQ33" s="47">
        <v>0</v>
      </c>
      <c r="AR33" s="48">
        <v>0</v>
      </c>
      <c r="AS33" s="47">
        <v>7</v>
      </c>
      <c r="AT33" s="48">
        <v>50</v>
      </c>
      <c r="AU33" s="47">
        <v>14</v>
      </c>
      <c r="AV33" s="118" t="s">
        <v>541</v>
      </c>
      <c r="AW33" s="118" t="s">
        <v>541</v>
      </c>
      <c r="AX33" s="118" t="s">
        <v>568</v>
      </c>
      <c r="AY33" s="118" t="s">
        <v>568</v>
      </c>
      <c r="AZ33" s="2"/>
    </row>
    <row r="34" spans="1:52" ht="15">
      <c r="A34" s="11" t="s">
        <v>248</v>
      </c>
      <c r="B34" s="12"/>
      <c r="C34" s="12"/>
      <c r="D34" s="82">
        <v>98.1283422459893</v>
      </c>
      <c r="E34" s="76"/>
      <c r="F34" s="101"/>
      <c r="G34" s="12"/>
      <c r="H34" s="13" t="s">
        <v>248</v>
      </c>
      <c r="I34" s="63"/>
      <c r="J34" s="63"/>
      <c r="K34" s="104" t="s">
        <v>248</v>
      </c>
      <c r="L34" s="83">
        <v>923.8923076923077</v>
      </c>
      <c r="M34" s="84">
        <v>1112.2926025390625</v>
      </c>
      <c r="N34" s="84">
        <v>2292.366943359375</v>
      </c>
      <c r="O34" s="74"/>
      <c r="P34" s="85"/>
      <c r="Q34" s="85"/>
      <c r="R34" s="86"/>
      <c r="S34" s="47">
        <v>1</v>
      </c>
      <c r="T34" s="47">
        <v>1</v>
      </c>
      <c r="U34" s="48">
        <v>60</v>
      </c>
      <c r="V34" s="48">
        <v>0.211538</v>
      </c>
      <c r="W34" s="48">
        <v>0.021895</v>
      </c>
      <c r="X34" s="48">
        <v>0.02841</v>
      </c>
      <c r="Y34" s="48">
        <v>0</v>
      </c>
      <c r="Z34" s="48">
        <v>0</v>
      </c>
      <c r="AA34" s="77">
        <v>34</v>
      </c>
      <c r="AB34" s="77"/>
      <c r="AC34" s="87"/>
      <c r="AD34" s="80" t="s">
        <v>304</v>
      </c>
      <c r="AE34" s="103" t="str">
        <f>HYPERLINK("http://en.wikipedia.org/wiki/User:223.123.18.66")</f>
        <v>http://en.wikipedia.org/wiki/User:223.123.18.66</v>
      </c>
      <c r="AF34" s="80" t="s">
        <v>309</v>
      </c>
      <c r="AG34" s="80"/>
      <c r="AH34" s="80"/>
      <c r="AI34" s="80">
        <v>0</v>
      </c>
      <c r="AJ34" s="80">
        <v>1</v>
      </c>
      <c r="AK34" s="80"/>
      <c r="AL34" s="80" t="str">
        <f>REPLACE(INDEX(GroupVertices[Group],MATCH(Vertices[[#This Row],[Vertex]],GroupVertices[Vertex],0)),1,1,"")</f>
        <v>1</v>
      </c>
      <c r="AM34" s="47">
        <v>0</v>
      </c>
      <c r="AN34" s="48">
        <v>0</v>
      </c>
      <c r="AO34" s="47">
        <v>0</v>
      </c>
      <c r="AP34" s="48">
        <v>0</v>
      </c>
      <c r="AQ34" s="47">
        <v>0</v>
      </c>
      <c r="AR34" s="48">
        <v>0</v>
      </c>
      <c r="AS34" s="47">
        <v>1</v>
      </c>
      <c r="AT34" s="48">
        <v>33.333333333333336</v>
      </c>
      <c r="AU34" s="47">
        <v>3</v>
      </c>
      <c r="AV34" s="118" t="s">
        <v>542</v>
      </c>
      <c r="AW34" s="118" t="s">
        <v>542</v>
      </c>
      <c r="AX34" s="118" t="s">
        <v>528</v>
      </c>
      <c r="AY34" s="118" t="s">
        <v>528</v>
      </c>
      <c r="AZ34" s="2"/>
    </row>
    <row r="35" spans="1:52" ht="15">
      <c r="A35" s="11" t="s">
        <v>249</v>
      </c>
      <c r="B35" s="12"/>
      <c r="C35" s="12"/>
      <c r="D35" s="82">
        <v>101.33689839572193</v>
      </c>
      <c r="E35" s="76"/>
      <c r="F35" s="101"/>
      <c r="G35" s="12"/>
      <c r="H35" s="13" t="s">
        <v>249</v>
      </c>
      <c r="I35" s="63"/>
      <c r="J35" s="63"/>
      <c r="K35" s="104" t="s">
        <v>249</v>
      </c>
      <c r="L35" s="83">
        <v>985.4184615384615</v>
      </c>
      <c r="M35" s="84">
        <v>3197.671875</v>
      </c>
      <c r="N35" s="84">
        <v>3632.580810546875</v>
      </c>
      <c r="O35" s="74"/>
      <c r="P35" s="85"/>
      <c r="Q35" s="85"/>
      <c r="R35" s="86"/>
      <c r="S35" s="47">
        <v>2</v>
      </c>
      <c r="T35" s="47">
        <v>2</v>
      </c>
      <c r="U35" s="48">
        <v>64</v>
      </c>
      <c r="V35" s="48">
        <v>0.210191</v>
      </c>
      <c r="W35" s="48">
        <v>0.031207</v>
      </c>
      <c r="X35" s="48">
        <v>0.031788</v>
      </c>
      <c r="Y35" s="48">
        <v>0</v>
      </c>
      <c r="Z35" s="48">
        <v>0</v>
      </c>
      <c r="AA35" s="77">
        <v>35</v>
      </c>
      <c r="AB35" s="77"/>
      <c r="AC35" s="87"/>
      <c r="AD35" s="80" t="s">
        <v>304</v>
      </c>
      <c r="AE35" s="103" t="str">
        <f>HYPERLINK("http://en.wikipedia.org/wiki/User:Hanzla019")</f>
        <v>http://en.wikipedia.org/wiki/User:Hanzla019</v>
      </c>
      <c r="AF35" s="80" t="s">
        <v>309</v>
      </c>
      <c r="AG35" s="80"/>
      <c r="AH35" s="80"/>
      <c r="AI35" s="80">
        <v>0</v>
      </c>
      <c r="AJ35" s="80">
        <v>2</v>
      </c>
      <c r="AK35" s="80"/>
      <c r="AL35" s="80" t="str">
        <f>REPLACE(INDEX(GroupVertices[Group],MATCH(Vertices[[#This Row],[Vertex]],GroupVertices[Vertex],0)),1,1,"")</f>
        <v>1</v>
      </c>
      <c r="AM35" s="47">
        <v>0</v>
      </c>
      <c r="AN35" s="48">
        <v>0</v>
      </c>
      <c r="AO35" s="47">
        <v>0</v>
      </c>
      <c r="AP35" s="48">
        <v>0</v>
      </c>
      <c r="AQ35" s="47">
        <v>0</v>
      </c>
      <c r="AR35" s="48">
        <v>0</v>
      </c>
      <c r="AS35" s="47">
        <v>4</v>
      </c>
      <c r="AT35" s="48">
        <v>57.142857142857146</v>
      </c>
      <c r="AU35" s="47">
        <v>7</v>
      </c>
      <c r="AV35" s="118" t="s">
        <v>543</v>
      </c>
      <c r="AW35" s="118" t="s">
        <v>543</v>
      </c>
      <c r="AX35" s="118" t="s">
        <v>484</v>
      </c>
      <c r="AY35" s="118" t="s">
        <v>484</v>
      </c>
      <c r="AZ35" s="2"/>
    </row>
    <row r="36" spans="1:52" ht="15">
      <c r="A36" s="88" t="s">
        <v>250</v>
      </c>
      <c r="B36" s="89"/>
      <c r="C36" s="89"/>
      <c r="D36" s="90">
        <v>50</v>
      </c>
      <c r="E36" s="91"/>
      <c r="F36" s="102"/>
      <c r="G36" s="89"/>
      <c r="H36" s="92" t="s">
        <v>250</v>
      </c>
      <c r="I36" s="93"/>
      <c r="J36" s="93"/>
      <c r="K36" s="105" t="s">
        <v>250</v>
      </c>
      <c r="L36" s="94">
        <v>1</v>
      </c>
      <c r="M36" s="95">
        <v>3510.3828125</v>
      </c>
      <c r="N36" s="95">
        <v>4911.2734375</v>
      </c>
      <c r="O36" s="96"/>
      <c r="P36" s="97"/>
      <c r="Q36" s="97"/>
      <c r="R36" s="98"/>
      <c r="S36" s="47">
        <v>0</v>
      </c>
      <c r="T36" s="47">
        <v>1</v>
      </c>
      <c r="U36" s="48">
        <v>0</v>
      </c>
      <c r="V36" s="48">
        <v>0.174603</v>
      </c>
      <c r="W36" s="48">
        <v>0.009312</v>
      </c>
      <c r="X36" s="48">
        <v>0.026589</v>
      </c>
      <c r="Y36" s="48">
        <v>0</v>
      </c>
      <c r="Z36" s="48">
        <v>0</v>
      </c>
      <c r="AA36" s="99">
        <v>36</v>
      </c>
      <c r="AB36" s="99"/>
      <c r="AC36" s="100"/>
      <c r="AD36" s="80" t="s">
        <v>304</v>
      </c>
      <c r="AE36" s="103" t="str">
        <f>HYPERLINK("http://en.wikipedia.org/wiki/User:LilianaUwU")</f>
        <v>http://en.wikipedia.org/wiki/User:LilianaUwU</v>
      </c>
      <c r="AF36" s="80" t="s">
        <v>309</v>
      </c>
      <c r="AG36" s="80"/>
      <c r="AH36" s="80"/>
      <c r="AI36" s="80">
        <v>0.3745406</v>
      </c>
      <c r="AJ36" s="80">
        <v>500</v>
      </c>
      <c r="AK36" s="80"/>
      <c r="AL36" s="80" t="str">
        <f>REPLACE(INDEX(GroupVertices[Group],MATCH(Vertices[[#This Row],[Vertex]],GroupVertices[Vertex],0)),1,1,"")</f>
        <v>1</v>
      </c>
      <c r="AM36" s="47">
        <v>0</v>
      </c>
      <c r="AN36" s="48">
        <v>0</v>
      </c>
      <c r="AO36" s="47">
        <v>0</v>
      </c>
      <c r="AP36" s="48">
        <v>0</v>
      </c>
      <c r="AQ36" s="47">
        <v>0</v>
      </c>
      <c r="AR36" s="48">
        <v>0</v>
      </c>
      <c r="AS36" s="47">
        <v>6</v>
      </c>
      <c r="AT36" s="48">
        <v>46.15384615384615</v>
      </c>
      <c r="AU36" s="47">
        <v>13</v>
      </c>
      <c r="AV36" s="118" t="s">
        <v>544</v>
      </c>
      <c r="AW36" s="118" t="s">
        <v>544</v>
      </c>
      <c r="AX36" s="118" t="s">
        <v>569</v>
      </c>
      <c r="AY36" s="118" t="s">
        <v>569</v>
      </c>
      <c r="AZ3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6.00390625" style="0" bestFit="1" customWidth="1"/>
    <col min="35" max="35" width="18.14062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35"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406</v>
      </c>
      <c r="Z2" s="64" t="s">
        <v>407</v>
      </c>
      <c r="AA2" s="64" t="s">
        <v>408</v>
      </c>
      <c r="AB2" s="64" t="s">
        <v>409</v>
      </c>
      <c r="AC2" s="64" t="s">
        <v>410</v>
      </c>
      <c r="AD2" s="64" t="s">
        <v>411</v>
      </c>
      <c r="AE2" s="64" t="s">
        <v>412</v>
      </c>
      <c r="AF2" s="64" t="s">
        <v>413</v>
      </c>
      <c r="AG2" s="64" t="s">
        <v>416</v>
      </c>
      <c r="AH2" s="7" t="s">
        <v>461</v>
      </c>
      <c r="AI2" s="7" t="s">
        <v>508</v>
      </c>
    </row>
    <row r="3" spans="1:35" ht="15">
      <c r="A3" s="79" t="s">
        <v>310</v>
      </c>
      <c r="B3" s="101" t="s">
        <v>315</v>
      </c>
      <c r="C3" s="101" t="s">
        <v>56</v>
      </c>
      <c r="D3" s="107"/>
      <c r="E3" s="12"/>
      <c r="F3" s="13" t="s">
        <v>575</v>
      </c>
      <c r="G3" s="74"/>
      <c r="H3" s="74"/>
      <c r="I3" s="108">
        <v>3</v>
      </c>
      <c r="J3" s="60"/>
      <c r="K3" s="47">
        <v>8</v>
      </c>
      <c r="L3" s="47">
        <v>10</v>
      </c>
      <c r="M3" s="47">
        <v>0</v>
      </c>
      <c r="N3" s="47">
        <v>10</v>
      </c>
      <c r="O3" s="47">
        <v>2</v>
      </c>
      <c r="P3" s="48">
        <v>0</v>
      </c>
      <c r="Q3" s="48">
        <v>0</v>
      </c>
      <c r="R3" s="47">
        <v>1</v>
      </c>
      <c r="S3" s="47">
        <v>0</v>
      </c>
      <c r="T3" s="47">
        <v>8</v>
      </c>
      <c r="U3" s="47">
        <v>10</v>
      </c>
      <c r="V3" s="47">
        <v>4</v>
      </c>
      <c r="W3" s="48">
        <v>1.84375</v>
      </c>
      <c r="X3" s="48">
        <v>0.14285714285714285</v>
      </c>
      <c r="Y3" s="47">
        <v>1</v>
      </c>
      <c r="Z3" s="48">
        <v>1.1904761904761905</v>
      </c>
      <c r="AA3" s="47">
        <v>0</v>
      </c>
      <c r="AB3" s="48">
        <v>0</v>
      </c>
      <c r="AC3" s="47">
        <v>0</v>
      </c>
      <c r="AD3" s="48">
        <v>0</v>
      </c>
      <c r="AE3" s="47">
        <v>44</v>
      </c>
      <c r="AF3" s="48">
        <v>52.38095238095238</v>
      </c>
      <c r="AG3" s="47">
        <v>84</v>
      </c>
      <c r="AH3" s="109" t="s">
        <v>462</v>
      </c>
      <c r="AI3" s="109" t="s">
        <v>509</v>
      </c>
    </row>
    <row r="4" spans="1:35" ht="15">
      <c r="A4" s="79" t="s">
        <v>311</v>
      </c>
      <c r="B4" s="101" t="s">
        <v>316</v>
      </c>
      <c r="C4" s="101" t="s">
        <v>56</v>
      </c>
      <c r="D4" s="107"/>
      <c r="E4" s="12"/>
      <c r="F4" s="13" t="s">
        <v>576</v>
      </c>
      <c r="G4" s="74"/>
      <c r="H4" s="74"/>
      <c r="I4" s="108">
        <v>4</v>
      </c>
      <c r="J4" s="77"/>
      <c r="K4" s="47">
        <v>8</v>
      </c>
      <c r="L4" s="47">
        <v>8</v>
      </c>
      <c r="M4" s="47">
        <v>0</v>
      </c>
      <c r="N4" s="47">
        <v>8</v>
      </c>
      <c r="O4" s="47">
        <v>1</v>
      </c>
      <c r="P4" s="48">
        <v>0</v>
      </c>
      <c r="Q4" s="48">
        <v>0</v>
      </c>
      <c r="R4" s="47">
        <v>1</v>
      </c>
      <c r="S4" s="47">
        <v>0</v>
      </c>
      <c r="T4" s="47">
        <v>8</v>
      </c>
      <c r="U4" s="47">
        <v>8</v>
      </c>
      <c r="V4" s="47">
        <v>5</v>
      </c>
      <c r="W4" s="48">
        <v>2.25</v>
      </c>
      <c r="X4" s="48">
        <v>0.125</v>
      </c>
      <c r="Y4" s="47">
        <v>0</v>
      </c>
      <c r="Z4" s="48">
        <v>0</v>
      </c>
      <c r="AA4" s="47">
        <v>1</v>
      </c>
      <c r="AB4" s="48">
        <v>1.3157894736842106</v>
      </c>
      <c r="AC4" s="47">
        <v>0</v>
      </c>
      <c r="AD4" s="48">
        <v>0</v>
      </c>
      <c r="AE4" s="47">
        <v>37</v>
      </c>
      <c r="AF4" s="48">
        <v>48.68421052631579</v>
      </c>
      <c r="AG4" s="47">
        <v>76</v>
      </c>
      <c r="AH4" s="109" t="s">
        <v>463</v>
      </c>
      <c r="AI4" s="109" t="s">
        <v>510</v>
      </c>
    </row>
    <row r="5" spans="1:35" ht="15">
      <c r="A5" s="79" t="s">
        <v>312</v>
      </c>
      <c r="B5" s="101" t="s">
        <v>317</v>
      </c>
      <c r="C5" s="101" t="s">
        <v>56</v>
      </c>
      <c r="D5" s="107"/>
      <c r="E5" s="12"/>
      <c r="F5" s="13" t="s">
        <v>577</v>
      </c>
      <c r="G5" s="74"/>
      <c r="H5" s="74"/>
      <c r="I5" s="108">
        <v>5</v>
      </c>
      <c r="J5" s="77"/>
      <c r="K5" s="47">
        <v>7</v>
      </c>
      <c r="L5" s="47">
        <v>8</v>
      </c>
      <c r="M5" s="47">
        <v>0</v>
      </c>
      <c r="N5" s="47">
        <v>8</v>
      </c>
      <c r="O5" s="47">
        <v>0</v>
      </c>
      <c r="P5" s="48">
        <v>0.14285714285714285</v>
      </c>
      <c r="Q5" s="48">
        <v>0.25</v>
      </c>
      <c r="R5" s="47">
        <v>1</v>
      </c>
      <c r="S5" s="47">
        <v>0</v>
      </c>
      <c r="T5" s="47">
        <v>7</v>
      </c>
      <c r="U5" s="47">
        <v>8</v>
      </c>
      <c r="V5" s="47">
        <v>3</v>
      </c>
      <c r="W5" s="48">
        <v>1.591837</v>
      </c>
      <c r="X5" s="48">
        <v>0.19047619047619047</v>
      </c>
      <c r="Y5" s="47">
        <v>0</v>
      </c>
      <c r="Z5" s="48">
        <v>0</v>
      </c>
      <c r="AA5" s="47">
        <v>0</v>
      </c>
      <c r="AB5" s="48">
        <v>0</v>
      </c>
      <c r="AC5" s="47">
        <v>0</v>
      </c>
      <c r="AD5" s="48">
        <v>0</v>
      </c>
      <c r="AE5" s="47">
        <v>87</v>
      </c>
      <c r="AF5" s="48">
        <v>58.38926174496644</v>
      </c>
      <c r="AG5" s="47">
        <v>149</v>
      </c>
      <c r="AH5" s="109" t="s">
        <v>464</v>
      </c>
      <c r="AI5" s="109" t="s">
        <v>511</v>
      </c>
    </row>
    <row r="6" spans="1:35" ht="15">
      <c r="A6" s="79" t="s">
        <v>313</v>
      </c>
      <c r="B6" s="101" t="s">
        <v>318</v>
      </c>
      <c r="C6" s="101" t="s">
        <v>56</v>
      </c>
      <c r="D6" s="107"/>
      <c r="E6" s="12"/>
      <c r="F6" s="13" t="s">
        <v>578</v>
      </c>
      <c r="G6" s="74"/>
      <c r="H6" s="74"/>
      <c r="I6" s="108">
        <v>6</v>
      </c>
      <c r="J6" s="77"/>
      <c r="K6" s="47">
        <v>6</v>
      </c>
      <c r="L6" s="47">
        <v>7</v>
      </c>
      <c r="M6" s="47">
        <v>0</v>
      </c>
      <c r="N6" s="47">
        <v>7</v>
      </c>
      <c r="O6" s="47">
        <v>0</v>
      </c>
      <c r="P6" s="48">
        <v>0.16666666666666666</v>
      </c>
      <c r="Q6" s="48">
        <v>0.2857142857142857</v>
      </c>
      <c r="R6" s="47">
        <v>1</v>
      </c>
      <c r="S6" s="47">
        <v>0</v>
      </c>
      <c r="T6" s="47">
        <v>6</v>
      </c>
      <c r="U6" s="47">
        <v>7</v>
      </c>
      <c r="V6" s="47">
        <v>3</v>
      </c>
      <c r="W6" s="48">
        <v>1.444444</v>
      </c>
      <c r="X6" s="48">
        <v>0.23333333333333334</v>
      </c>
      <c r="Y6" s="47">
        <v>2</v>
      </c>
      <c r="Z6" s="48">
        <v>1.639344262295082</v>
      </c>
      <c r="AA6" s="47">
        <v>0</v>
      </c>
      <c r="AB6" s="48">
        <v>0</v>
      </c>
      <c r="AC6" s="47">
        <v>0</v>
      </c>
      <c r="AD6" s="48">
        <v>0</v>
      </c>
      <c r="AE6" s="47">
        <v>70</v>
      </c>
      <c r="AF6" s="48">
        <v>57.377049180327866</v>
      </c>
      <c r="AG6" s="47">
        <v>122</v>
      </c>
      <c r="AH6" s="109" t="s">
        <v>465</v>
      </c>
      <c r="AI6" s="109" t="s">
        <v>512</v>
      </c>
    </row>
    <row r="7" spans="1:35" ht="15">
      <c r="A7" s="79" t="s">
        <v>314</v>
      </c>
      <c r="B7" s="101" t="s">
        <v>319</v>
      </c>
      <c r="C7" s="101" t="s">
        <v>56</v>
      </c>
      <c r="D7" s="107"/>
      <c r="E7" s="12"/>
      <c r="F7" s="13" t="s">
        <v>579</v>
      </c>
      <c r="G7" s="74"/>
      <c r="H7" s="74"/>
      <c r="I7" s="108">
        <v>7</v>
      </c>
      <c r="J7" s="77"/>
      <c r="K7" s="47">
        <v>5</v>
      </c>
      <c r="L7" s="47">
        <v>7</v>
      </c>
      <c r="M7" s="47">
        <v>0</v>
      </c>
      <c r="N7" s="47">
        <v>7</v>
      </c>
      <c r="O7" s="47">
        <v>1</v>
      </c>
      <c r="P7" s="48">
        <v>0.5</v>
      </c>
      <c r="Q7" s="48">
        <v>0.6666666666666666</v>
      </c>
      <c r="R7" s="47">
        <v>1</v>
      </c>
      <c r="S7" s="47">
        <v>0</v>
      </c>
      <c r="T7" s="47">
        <v>5</v>
      </c>
      <c r="U7" s="47">
        <v>7</v>
      </c>
      <c r="V7" s="47">
        <v>3</v>
      </c>
      <c r="W7" s="48">
        <v>1.44</v>
      </c>
      <c r="X7" s="48">
        <v>0.3</v>
      </c>
      <c r="Y7" s="47">
        <v>0</v>
      </c>
      <c r="Z7" s="48">
        <v>0</v>
      </c>
      <c r="AA7" s="47">
        <v>0</v>
      </c>
      <c r="AB7" s="48">
        <v>0</v>
      </c>
      <c r="AC7" s="47">
        <v>0</v>
      </c>
      <c r="AD7" s="48">
        <v>0</v>
      </c>
      <c r="AE7" s="47">
        <v>53</v>
      </c>
      <c r="AF7" s="48">
        <v>57.608695652173914</v>
      </c>
      <c r="AG7" s="47">
        <v>92</v>
      </c>
      <c r="AH7" s="109" t="s">
        <v>466</v>
      </c>
      <c r="AI7" s="109" t="s">
        <v>513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0" t="s">
        <v>310</v>
      </c>
      <c r="B2" s="109" t="s">
        <v>250</v>
      </c>
      <c r="C2" s="80">
        <f>VLOOKUP(GroupVertices[[#This Row],[Vertex]],Vertices[],MATCH("ID",Vertices[[#Headers],[Vertex]:[Top Word Pairs in Edit Comment by Salience]],0),FALSE)</f>
        <v>36</v>
      </c>
    </row>
    <row r="3" spans="1:3" ht="15">
      <c r="A3" s="81" t="s">
        <v>310</v>
      </c>
      <c r="B3" s="109" t="s">
        <v>249</v>
      </c>
      <c r="C3" s="80">
        <f>VLOOKUP(GroupVertices[[#This Row],[Vertex]],Vertices[],MATCH("ID",Vertices[[#Headers],[Vertex]:[Top Word Pairs in Edit Comment by Salience]],0),FALSE)</f>
        <v>35</v>
      </c>
    </row>
    <row r="4" spans="1:3" ht="15">
      <c r="A4" s="81" t="s">
        <v>310</v>
      </c>
      <c r="B4" s="109" t="s">
        <v>244</v>
      </c>
      <c r="C4" s="80">
        <f>VLOOKUP(GroupVertices[[#This Row],[Vertex]],Vertices[],MATCH("ID",Vertices[[#Headers],[Vertex]:[Top Word Pairs in Edit Comment by Salience]],0),FALSE)</f>
        <v>30</v>
      </c>
    </row>
    <row r="5" spans="1:3" ht="15">
      <c r="A5" s="81" t="s">
        <v>310</v>
      </c>
      <c r="B5" s="109" t="s">
        <v>248</v>
      </c>
      <c r="C5" s="80">
        <f>VLOOKUP(GroupVertices[[#This Row],[Vertex]],Vertices[],MATCH("ID",Vertices[[#Headers],[Vertex]:[Top Word Pairs in Edit Comment by Salience]],0),FALSE)</f>
        <v>34</v>
      </c>
    </row>
    <row r="6" spans="1:3" ht="15">
      <c r="A6" s="81" t="s">
        <v>310</v>
      </c>
      <c r="B6" s="109" t="s">
        <v>247</v>
      </c>
      <c r="C6" s="80">
        <f>VLOOKUP(GroupVertices[[#This Row],[Vertex]],Vertices[],MATCH("ID",Vertices[[#Headers],[Vertex]:[Top Word Pairs in Edit Comment by Salience]],0),FALSE)</f>
        <v>33</v>
      </c>
    </row>
    <row r="7" spans="1:3" ht="15">
      <c r="A7" s="81" t="s">
        <v>310</v>
      </c>
      <c r="B7" s="109" t="s">
        <v>246</v>
      </c>
      <c r="C7" s="80">
        <f>VLOOKUP(GroupVertices[[#This Row],[Vertex]],Vertices[],MATCH("ID",Vertices[[#Headers],[Vertex]:[Top Word Pairs in Edit Comment by Salience]],0),FALSE)</f>
        <v>32</v>
      </c>
    </row>
    <row r="8" spans="1:3" ht="15">
      <c r="A8" s="81" t="s">
        <v>310</v>
      </c>
      <c r="B8" s="109" t="s">
        <v>245</v>
      </c>
      <c r="C8" s="80">
        <f>VLOOKUP(GroupVertices[[#This Row],[Vertex]],Vertices[],MATCH("ID",Vertices[[#Headers],[Vertex]:[Top Word Pairs in Edit Comment by Salience]],0),FALSE)</f>
        <v>31</v>
      </c>
    </row>
    <row r="9" spans="1:3" ht="15">
      <c r="A9" s="81" t="s">
        <v>310</v>
      </c>
      <c r="B9" s="109" t="s">
        <v>243</v>
      </c>
      <c r="C9" s="80">
        <f>VLOOKUP(GroupVertices[[#This Row],[Vertex]],Vertices[],MATCH("ID",Vertices[[#Headers],[Vertex]:[Top Word Pairs in Edit Comment by Salience]],0),FALSE)</f>
        <v>29</v>
      </c>
    </row>
    <row r="10" spans="1:3" ht="15">
      <c r="A10" s="81" t="s">
        <v>311</v>
      </c>
      <c r="B10" s="109" t="s">
        <v>233</v>
      </c>
      <c r="C10" s="80">
        <f>VLOOKUP(GroupVertices[[#This Row],[Vertex]],Vertices[],MATCH("ID",Vertices[[#Headers],[Vertex]:[Top Word Pairs in Edit Comment by Salience]],0),FALSE)</f>
        <v>19</v>
      </c>
    </row>
    <row r="11" spans="1:3" ht="15">
      <c r="A11" s="81" t="s">
        <v>311</v>
      </c>
      <c r="B11" s="109" t="s">
        <v>232</v>
      </c>
      <c r="C11" s="80">
        <f>VLOOKUP(GroupVertices[[#This Row],[Vertex]],Vertices[],MATCH("ID",Vertices[[#Headers],[Vertex]:[Top Word Pairs in Edit Comment by Salience]],0),FALSE)</f>
        <v>18</v>
      </c>
    </row>
    <row r="12" spans="1:3" ht="15">
      <c r="A12" s="81" t="s">
        <v>311</v>
      </c>
      <c r="B12" s="109" t="s">
        <v>225</v>
      </c>
      <c r="C12" s="80">
        <f>VLOOKUP(GroupVertices[[#This Row],[Vertex]],Vertices[],MATCH("ID",Vertices[[#Headers],[Vertex]:[Top Word Pairs in Edit Comment by Salience]],0),FALSE)</f>
        <v>11</v>
      </c>
    </row>
    <row r="13" spans="1:3" ht="15">
      <c r="A13" s="81" t="s">
        <v>311</v>
      </c>
      <c r="B13" s="109" t="s">
        <v>231</v>
      </c>
      <c r="C13" s="80">
        <f>VLOOKUP(GroupVertices[[#This Row],[Vertex]],Vertices[],MATCH("ID",Vertices[[#Headers],[Vertex]:[Top Word Pairs in Edit Comment by Salience]],0),FALSE)</f>
        <v>17</v>
      </c>
    </row>
    <row r="14" spans="1:3" ht="15">
      <c r="A14" s="81" t="s">
        <v>311</v>
      </c>
      <c r="B14" s="109" t="s">
        <v>230</v>
      </c>
      <c r="C14" s="80">
        <f>VLOOKUP(GroupVertices[[#This Row],[Vertex]],Vertices[],MATCH("ID",Vertices[[#Headers],[Vertex]:[Top Word Pairs in Edit Comment by Salience]],0),FALSE)</f>
        <v>16</v>
      </c>
    </row>
    <row r="15" spans="1:3" ht="15">
      <c r="A15" s="81" t="s">
        <v>311</v>
      </c>
      <c r="B15" s="109" t="s">
        <v>229</v>
      </c>
      <c r="C15" s="80">
        <f>VLOOKUP(GroupVertices[[#This Row],[Vertex]],Vertices[],MATCH("ID",Vertices[[#Headers],[Vertex]:[Top Word Pairs in Edit Comment by Salience]],0),FALSE)</f>
        <v>15</v>
      </c>
    </row>
    <row r="16" spans="1:3" ht="15">
      <c r="A16" s="81" t="s">
        <v>311</v>
      </c>
      <c r="B16" s="109" t="s">
        <v>227</v>
      </c>
      <c r="C16" s="80">
        <f>VLOOKUP(GroupVertices[[#This Row],[Vertex]],Vertices[],MATCH("ID",Vertices[[#Headers],[Vertex]:[Top Word Pairs in Edit Comment by Salience]],0),FALSE)</f>
        <v>13</v>
      </c>
    </row>
    <row r="17" spans="1:3" ht="15">
      <c r="A17" s="81" t="s">
        <v>311</v>
      </c>
      <c r="B17" s="109" t="s">
        <v>226</v>
      </c>
      <c r="C17" s="80">
        <f>VLOOKUP(GroupVertices[[#This Row],[Vertex]],Vertices[],MATCH("ID",Vertices[[#Headers],[Vertex]:[Top Word Pairs in Edit Comment by Salience]],0),FALSE)</f>
        <v>12</v>
      </c>
    </row>
    <row r="18" spans="1:3" ht="15">
      <c r="A18" s="81" t="s">
        <v>312</v>
      </c>
      <c r="B18" s="109" t="s">
        <v>237</v>
      </c>
      <c r="C18" s="80">
        <f>VLOOKUP(GroupVertices[[#This Row],[Vertex]],Vertices[],MATCH("ID",Vertices[[#Headers],[Vertex]:[Top Word Pairs in Edit Comment by Salience]],0),FALSE)</f>
        <v>23</v>
      </c>
    </row>
    <row r="19" spans="1:3" ht="15">
      <c r="A19" s="81" t="s">
        <v>312</v>
      </c>
      <c r="B19" s="109" t="s">
        <v>219</v>
      </c>
      <c r="C19" s="80">
        <f>VLOOKUP(GroupVertices[[#This Row],[Vertex]],Vertices[],MATCH("ID",Vertices[[#Headers],[Vertex]:[Top Word Pairs in Edit Comment by Salience]],0),FALSE)</f>
        <v>4</v>
      </c>
    </row>
    <row r="20" spans="1:3" ht="15">
      <c r="A20" s="81" t="s">
        <v>312</v>
      </c>
      <c r="B20" s="109" t="s">
        <v>236</v>
      </c>
      <c r="C20" s="80">
        <f>VLOOKUP(GroupVertices[[#This Row],[Vertex]],Vertices[],MATCH("ID",Vertices[[#Headers],[Vertex]:[Top Word Pairs in Edit Comment by Salience]],0),FALSE)</f>
        <v>22</v>
      </c>
    </row>
    <row r="21" spans="1:3" ht="15">
      <c r="A21" s="81" t="s">
        <v>312</v>
      </c>
      <c r="B21" s="109" t="s">
        <v>235</v>
      </c>
      <c r="C21" s="80">
        <f>VLOOKUP(GroupVertices[[#This Row],[Vertex]],Vertices[],MATCH("ID",Vertices[[#Headers],[Vertex]:[Top Word Pairs in Edit Comment by Salience]],0),FALSE)</f>
        <v>21</v>
      </c>
    </row>
    <row r="22" spans="1:3" ht="15">
      <c r="A22" s="81" t="s">
        <v>312</v>
      </c>
      <c r="B22" s="109" t="s">
        <v>228</v>
      </c>
      <c r="C22" s="80">
        <f>VLOOKUP(GroupVertices[[#This Row],[Vertex]],Vertices[],MATCH("ID",Vertices[[#Headers],[Vertex]:[Top Word Pairs in Edit Comment by Salience]],0),FALSE)</f>
        <v>14</v>
      </c>
    </row>
    <row r="23" spans="1:3" ht="15">
      <c r="A23" s="81" t="s">
        <v>312</v>
      </c>
      <c r="B23" s="109" t="s">
        <v>218</v>
      </c>
      <c r="C23" s="80">
        <f>VLOOKUP(GroupVertices[[#This Row],[Vertex]],Vertices[],MATCH("ID",Vertices[[#Headers],[Vertex]:[Top Word Pairs in Edit Comment by Salience]],0),FALSE)</f>
        <v>5</v>
      </c>
    </row>
    <row r="24" spans="1:3" ht="15">
      <c r="A24" s="81" t="s">
        <v>312</v>
      </c>
      <c r="B24" s="109" t="s">
        <v>251</v>
      </c>
      <c r="C24" s="80">
        <f>VLOOKUP(GroupVertices[[#This Row],[Vertex]],Vertices[],MATCH("ID",Vertices[[#Headers],[Vertex]:[Top Word Pairs in Edit Comment by Salience]],0),FALSE)</f>
        <v>3</v>
      </c>
    </row>
    <row r="25" spans="1:3" ht="15">
      <c r="A25" s="81" t="s">
        <v>313</v>
      </c>
      <c r="B25" s="109" t="s">
        <v>234</v>
      </c>
      <c r="C25" s="80">
        <f>VLOOKUP(GroupVertices[[#This Row],[Vertex]],Vertices[],MATCH("ID",Vertices[[#Headers],[Vertex]:[Top Word Pairs in Edit Comment by Salience]],0),FALSE)</f>
        <v>20</v>
      </c>
    </row>
    <row r="26" spans="1:3" ht="15">
      <c r="A26" s="81" t="s">
        <v>313</v>
      </c>
      <c r="B26" s="109" t="s">
        <v>242</v>
      </c>
      <c r="C26" s="80">
        <f>VLOOKUP(GroupVertices[[#This Row],[Vertex]],Vertices[],MATCH("ID",Vertices[[#Headers],[Vertex]:[Top Word Pairs in Edit Comment by Salience]],0),FALSE)</f>
        <v>28</v>
      </c>
    </row>
    <row r="27" spans="1:3" ht="15">
      <c r="A27" s="81" t="s">
        <v>313</v>
      </c>
      <c r="B27" s="109" t="s">
        <v>241</v>
      </c>
      <c r="C27" s="80">
        <f>VLOOKUP(GroupVertices[[#This Row],[Vertex]],Vertices[],MATCH("ID",Vertices[[#Headers],[Vertex]:[Top Word Pairs in Edit Comment by Salience]],0),FALSE)</f>
        <v>27</v>
      </c>
    </row>
    <row r="28" spans="1:3" ht="15">
      <c r="A28" s="81" t="s">
        <v>313</v>
      </c>
      <c r="B28" s="109" t="s">
        <v>240</v>
      </c>
      <c r="C28" s="80">
        <f>VLOOKUP(GroupVertices[[#This Row],[Vertex]],Vertices[],MATCH("ID",Vertices[[#Headers],[Vertex]:[Top Word Pairs in Edit Comment by Salience]],0),FALSE)</f>
        <v>26</v>
      </c>
    </row>
    <row r="29" spans="1:3" ht="15">
      <c r="A29" s="81" t="s">
        <v>313</v>
      </c>
      <c r="B29" s="109" t="s">
        <v>239</v>
      </c>
      <c r="C29" s="80">
        <f>VLOOKUP(GroupVertices[[#This Row],[Vertex]],Vertices[],MATCH("ID",Vertices[[#Headers],[Vertex]:[Top Word Pairs in Edit Comment by Salience]],0),FALSE)</f>
        <v>25</v>
      </c>
    </row>
    <row r="30" spans="1:3" ht="15">
      <c r="A30" s="81" t="s">
        <v>313</v>
      </c>
      <c r="B30" s="109" t="s">
        <v>238</v>
      </c>
      <c r="C30" s="80">
        <f>VLOOKUP(GroupVertices[[#This Row],[Vertex]],Vertices[],MATCH("ID",Vertices[[#Headers],[Vertex]:[Top Word Pairs in Edit Comment by Salience]],0),FALSE)</f>
        <v>24</v>
      </c>
    </row>
    <row r="31" spans="1:3" ht="15">
      <c r="A31" s="81" t="s">
        <v>314</v>
      </c>
      <c r="B31" s="109" t="s">
        <v>224</v>
      </c>
      <c r="C31" s="80">
        <f>VLOOKUP(GroupVertices[[#This Row],[Vertex]],Vertices[],MATCH("ID",Vertices[[#Headers],[Vertex]:[Top Word Pairs in Edit Comment by Salience]],0),FALSE)</f>
        <v>10</v>
      </c>
    </row>
    <row r="32" spans="1:3" ht="15">
      <c r="A32" s="81" t="s">
        <v>314</v>
      </c>
      <c r="B32" s="109" t="s">
        <v>223</v>
      </c>
      <c r="C32" s="80">
        <f>VLOOKUP(GroupVertices[[#This Row],[Vertex]],Vertices[],MATCH("ID",Vertices[[#Headers],[Vertex]:[Top Word Pairs in Edit Comment by Salience]],0),FALSE)</f>
        <v>9</v>
      </c>
    </row>
    <row r="33" spans="1:3" ht="15">
      <c r="A33" s="81" t="s">
        <v>314</v>
      </c>
      <c r="B33" s="109" t="s">
        <v>221</v>
      </c>
      <c r="C33" s="80">
        <f>VLOOKUP(GroupVertices[[#This Row],[Vertex]],Vertices[],MATCH("ID",Vertices[[#Headers],[Vertex]:[Top Word Pairs in Edit Comment by Salience]],0),FALSE)</f>
        <v>7</v>
      </c>
    </row>
    <row r="34" spans="1:3" ht="15">
      <c r="A34" s="81" t="s">
        <v>314</v>
      </c>
      <c r="B34" s="109" t="s">
        <v>222</v>
      </c>
      <c r="C34" s="80">
        <f>VLOOKUP(GroupVertices[[#This Row],[Vertex]],Vertices[],MATCH("ID",Vertices[[#Headers],[Vertex]:[Top Word Pairs in Edit Comment by Salience]],0),FALSE)</f>
        <v>8</v>
      </c>
    </row>
    <row r="35" spans="1:3" ht="15">
      <c r="A35" s="81" t="s">
        <v>314</v>
      </c>
      <c r="B35" s="109" t="s">
        <v>220</v>
      </c>
      <c r="C35" s="80">
        <f>VLOOKUP(GroupVertices[[#This Row],[Vertex]],Vertices[],MATCH("ID",Vertices[[#Headers],[Vertex]:[Top Word Pairs in Edit Comment by Salience]],0),FALSE)</f>
        <v>6</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420</v>
      </c>
      <c r="B2" s="32" t="s">
        <v>195</v>
      </c>
      <c r="D2" s="30">
        <f>MIN(Vertices[Degree])</f>
        <v>0</v>
      </c>
      <c r="E2">
        <f>COUNTIF(Vertices[Degree],"&gt;= "&amp;D2)-COUNTIF(Vertices[Degree],"&gt;="&amp;D3)</f>
        <v>0</v>
      </c>
      <c r="F2" s="35">
        <f>MIN(Vertices[In-Degree])</f>
        <v>0</v>
      </c>
      <c r="G2" s="36">
        <f>COUNTIF(Vertices[In-Degree],"&gt;= "&amp;F2)-COUNTIF(Vertices[In-Degree],"&gt;="&amp;F3)</f>
        <v>1</v>
      </c>
      <c r="H2" s="35">
        <f>MIN(Vertices[Out-Degree])</f>
        <v>1</v>
      </c>
      <c r="I2" s="36">
        <f>COUNTIF(Vertices[Out-Degree],"&gt;= "&amp;H2)-COUNTIF(Vertices[Out-Degree],"&gt;="&amp;H3)</f>
        <v>26</v>
      </c>
      <c r="J2" s="35">
        <f>MIN(Vertices[Betweenness Centrality])</f>
        <v>0</v>
      </c>
      <c r="K2" s="36">
        <f>COUNTIF(Vertices[Betweenness Centrality],"&gt;= "&amp;J2)-COUNTIF(Vertices[Betweenness Centrality],"&gt;="&amp;J3)</f>
        <v>12</v>
      </c>
      <c r="L2" s="35">
        <f>MIN(Vertices[Closeness Centrality])</f>
        <v>0.174603</v>
      </c>
      <c r="M2" s="36">
        <f>COUNTIF(Vertices[Closeness Centrality],"&gt;= "&amp;L2)-COUNTIF(Vertices[Closeness Centrality],"&gt;="&amp;L3)</f>
        <v>3</v>
      </c>
      <c r="N2" s="35">
        <f>MIN(Vertices[Eigenvector Centrality])</f>
        <v>0.009312</v>
      </c>
      <c r="O2" s="36">
        <f>COUNTIF(Vertices[Eigenvector Centrality],"&gt;= "&amp;N2)-COUNTIF(Vertices[Eigenvector Centrality],"&gt;="&amp;N3)</f>
        <v>5</v>
      </c>
      <c r="P2" s="35">
        <f>MIN(Vertices[PageRank])</f>
        <v>0.025796</v>
      </c>
      <c r="Q2" s="36">
        <f>COUNTIF(Vertices[PageRank],"&gt;= "&amp;P2)-COUNTIF(Vertices[PageRank],"&gt;="&amp;P3)</f>
        <v>4</v>
      </c>
      <c r="R2" s="35">
        <f>MIN(Vertices[Clustering Coefficient])</f>
        <v>0</v>
      </c>
      <c r="S2" s="41">
        <f>COUNTIF(Vertices[Clustering Coefficient],"&gt;= "&amp;R2)-COUNTIF(Vertices[Clustering Coefficient],"&gt;="&amp;R3)</f>
        <v>31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7"/>
      <c r="B3" s="117"/>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1.088235294117647</v>
      </c>
      <c r="I3" s="38">
        <f>COUNTIF(Vertices[Out-Degree],"&gt;= "&amp;H3)-COUNTIF(Vertices[Out-Degree],"&gt;="&amp;H4)</f>
        <v>0</v>
      </c>
      <c r="J3" s="37">
        <f aca="true" t="shared" si="4" ref="J3:J35">J2+($J$36-$J$2)/BinDivisor</f>
        <v>19.11764705882353</v>
      </c>
      <c r="K3" s="38">
        <f>COUNTIF(Vertices[Betweenness Centrality],"&gt;= "&amp;J3)-COUNTIF(Vertices[Betweenness Centrality],"&gt;="&amp;J4)</f>
        <v>6</v>
      </c>
      <c r="L3" s="37">
        <f aca="true" t="shared" si="5" ref="L3:L35">L2+($L$36-$L$2)/BinDivisor</f>
        <v>0.18037311764705882</v>
      </c>
      <c r="M3" s="38">
        <f>COUNTIF(Vertices[Closeness Centrality],"&gt;= "&amp;L3)-COUNTIF(Vertices[Closeness Centrality],"&gt;="&amp;L4)</f>
        <v>0</v>
      </c>
      <c r="N3" s="37">
        <f aca="true" t="shared" si="6" ref="N3:N35">N2+($N$36-$N$2)/BinDivisor</f>
        <v>0.0253295</v>
      </c>
      <c r="O3" s="38">
        <f>COUNTIF(Vertices[Eigenvector Centrality],"&gt;= "&amp;N3)-COUNTIF(Vertices[Eigenvector Centrality],"&gt;="&amp;N4)</f>
        <v>3</v>
      </c>
      <c r="P3" s="37">
        <f aca="true" t="shared" si="7" ref="P3:P35">P2+($P$36-$P$2)/BinDivisor</f>
        <v>0.026285617647058824</v>
      </c>
      <c r="Q3" s="38">
        <f>COUNTIF(Vertices[PageRank],"&gt;= "&amp;P3)-COUNTIF(Vertices[PageRank],"&gt;="&amp;P4)</f>
        <v>2</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34</v>
      </c>
      <c r="D4" s="30">
        <f t="shared" si="1"/>
        <v>0</v>
      </c>
      <c r="E4">
        <f>COUNTIF(Vertices[Degree],"&gt;= "&amp;D4)-COUNTIF(Vertices[Degree],"&gt;="&amp;D5)</f>
        <v>0</v>
      </c>
      <c r="F4" s="35">
        <f t="shared" si="2"/>
        <v>0.29411764705882354</v>
      </c>
      <c r="G4" s="36">
        <f>COUNTIF(Vertices[In-Degree],"&gt;= "&amp;F4)-COUNTIF(Vertices[In-Degree],"&gt;="&amp;F5)</f>
        <v>0</v>
      </c>
      <c r="H4" s="35">
        <f t="shared" si="3"/>
        <v>1.176470588235294</v>
      </c>
      <c r="I4" s="36">
        <f>COUNTIF(Vertices[Out-Degree],"&gt;= "&amp;H4)-COUNTIF(Vertices[Out-Degree],"&gt;="&amp;H5)</f>
        <v>0</v>
      </c>
      <c r="J4" s="35">
        <f t="shared" si="4"/>
        <v>38.23529411764706</v>
      </c>
      <c r="K4" s="36">
        <f>COUNTIF(Vertices[Betweenness Centrality],"&gt;= "&amp;J4)-COUNTIF(Vertices[Betweenness Centrality],"&gt;="&amp;J5)</f>
        <v>1</v>
      </c>
      <c r="L4" s="35">
        <f t="shared" si="5"/>
        <v>0.18614323529411764</v>
      </c>
      <c r="M4" s="36">
        <f>COUNTIF(Vertices[Closeness Centrality],"&gt;= "&amp;L4)-COUNTIF(Vertices[Closeness Centrality],"&gt;="&amp;L5)</f>
        <v>0</v>
      </c>
      <c r="N4" s="35">
        <f t="shared" si="6"/>
        <v>0.041347</v>
      </c>
      <c r="O4" s="36">
        <f>COUNTIF(Vertices[Eigenvector Centrality],"&gt;= "&amp;N4)-COUNTIF(Vertices[Eigenvector Centrality],"&gt;="&amp;N5)</f>
        <v>1</v>
      </c>
      <c r="P4" s="35">
        <f t="shared" si="7"/>
        <v>0.02677523529411765</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17"/>
      <c r="B5" s="117"/>
      <c r="D5" s="30">
        <f t="shared" si="1"/>
        <v>0</v>
      </c>
      <c r="E5">
        <f>COUNTIF(Vertices[Degree],"&gt;= "&amp;D5)-COUNTIF(Vertices[Degree],"&gt;="&amp;D6)</f>
        <v>0</v>
      </c>
      <c r="F5" s="37">
        <f t="shared" si="2"/>
        <v>0.4411764705882353</v>
      </c>
      <c r="G5" s="38">
        <f>COUNTIF(Vertices[In-Degree],"&gt;= "&amp;F5)-COUNTIF(Vertices[In-Degree],"&gt;="&amp;F6)</f>
        <v>0</v>
      </c>
      <c r="H5" s="37">
        <f t="shared" si="3"/>
        <v>1.264705882352941</v>
      </c>
      <c r="I5" s="38">
        <f>COUNTIF(Vertices[Out-Degree],"&gt;= "&amp;H5)-COUNTIF(Vertices[Out-Degree],"&gt;="&amp;H6)</f>
        <v>0</v>
      </c>
      <c r="J5" s="37">
        <f t="shared" si="4"/>
        <v>57.35294117647059</v>
      </c>
      <c r="K5" s="38">
        <f>COUNTIF(Vertices[Betweenness Centrality],"&gt;= "&amp;J5)-COUNTIF(Vertices[Betweenness Centrality],"&gt;="&amp;J6)</f>
        <v>6</v>
      </c>
      <c r="L5" s="37">
        <f t="shared" si="5"/>
        <v>0.19191335294117645</v>
      </c>
      <c r="M5" s="38">
        <f>COUNTIF(Vertices[Closeness Centrality],"&gt;= "&amp;L5)-COUNTIF(Vertices[Closeness Centrality],"&gt;="&amp;L6)</f>
        <v>0</v>
      </c>
      <c r="N5" s="37">
        <f t="shared" si="6"/>
        <v>0.0573645</v>
      </c>
      <c r="O5" s="38">
        <f>COUNTIF(Vertices[Eigenvector Centrality],"&gt;= "&amp;N5)-COUNTIF(Vertices[Eigenvector Centrality],"&gt;="&amp;N6)</f>
        <v>3</v>
      </c>
      <c r="P5" s="37">
        <f t="shared" si="7"/>
        <v>0.027264852941176473</v>
      </c>
      <c r="Q5" s="38">
        <f>COUNTIF(Vertices[PageRank],"&gt;= "&amp;P5)-COUNTIF(Vertices[PageRank],"&gt;="&amp;P6)</f>
        <v>1</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48</v>
      </c>
      <c r="D6" s="30">
        <f t="shared" si="1"/>
        <v>0</v>
      </c>
      <c r="E6">
        <f>COUNTIF(Vertices[Degree],"&gt;= "&amp;D6)-COUNTIF(Vertices[Degree],"&gt;="&amp;D7)</f>
        <v>0</v>
      </c>
      <c r="F6" s="35">
        <f t="shared" si="2"/>
        <v>0.5882352941176471</v>
      </c>
      <c r="G6" s="36">
        <f>COUNTIF(Vertices[In-Degree],"&gt;= "&amp;F6)-COUNTIF(Vertices[In-Degree],"&gt;="&amp;F7)</f>
        <v>0</v>
      </c>
      <c r="H6" s="35">
        <f t="shared" si="3"/>
        <v>1.3529411764705879</v>
      </c>
      <c r="I6" s="36">
        <f>COUNTIF(Vertices[Out-Degree],"&gt;= "&amp;H6)-COUNTIF(Vertices[Out-Degree],"&gt;="&amp;H7)</f>
        <v>0</v>
      </c>
      <c r="J6" s="35">
        <f t="shared" si="4"/>
        <v>76.47058823529412</v>
      </c>
      <c r="K6" s="36">
        <f>COUNTIF(Vertices[Betweenness Centrality],"&gt;= "&amp;J6)-COUNTIF(Vertices[Betweenness Centrality],"&gt;="&amp;J7)</f>
        <v>0</v>
      </c>
      <c r="L6" s="35">
        <f t="shared" si="5"/>
        <v>0.19768347058823527</v>
      </c>
      <c r="M6" s="36">
        <f>COUNTIF(Vertices[Closeness Centrality],"&gt;= "&amp;L6)-COUNTIF(Vertices[Closeness Centrality],"&gt;="&amp;L7)</f>
        <v>0</v>
      </c>
      <c r="N6" s="35">
        <f t="shared" si="6"/>
        <v>0.073382</v>
      </c>
      <c r="O6" s="36">
        <f>COUNTIF(Vertices[Eigenvector Centrality],"&gt;= "&amp;N6)-COUNTIF(Vertices[Eigenvector Centrality],"&gt;="&amp;N7)</f>
        <v>4</v>
      </c>
      <c r="P6" s="35">
        <f t="shared" si="7"/>
        <v>0.027754470588235297</v>
      </c>
      <c r="Q6" s="36">
        <f>COUNTIF(Vertices[PageRank],"&gt;= "&amp;P6)-COUNTIF(Vertices[PageRank],"&gt;="&amp;P7)</f>
        <v>9</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0.7352941176470589</v>
      </c>
      <c r="G7" s="38">
        <f>COUNTIF(Vertices[In-Degree],"&gt;= "&amp;F7)-COUNTIF(Vertices[In-Degree],"&gt;="&amp;F8)</f>
        <v>0</v>
      </c>
      <c r="H7" s="37">
        <f t="shared" si="3"/>
        <v>1.4411764705882348</v>
      </c>
      <c r="I7" s="38">
        <f>COUNTIF(Vertices[Out-Degree],"&gt;= "&amp;H7)-COUNTIF(Vertices[Out-Degree],"&gt;="&amp;H8)</f>
        <v>0</v>
      </c>
      <c r="J7" s="37">
        <f t="shared" si="4"/>
        <v>95.58823529411765</v>
      </c>
      <c r="K7" s="38">
        <f>COUNTIF(Vertices[Betweenness Centrality],"&gt;= "&amp;J7)-COUNTIF(Vertices[Betweenness Centrality],"&gt;="&amp;J8)</f>
        <v>0</v>
      </c>
      <c r="L7" s="37">
        <f t="shared" si="5"/>
        <v>0.20345358823529408</v>
      </c>
      <c r="M7" s="38">
        <f>COUNTIF(Vertices[Closeness Centrality],"&gt;= "&amp;L7)-COUNTIF(Vertices[Closeness Centrality],"&gt;="&amp;L8)</f>
        <v>0</v>
      </c>
      <c r="N7" s="37">
        <f t="shared" si="6"/>
        <v>0.0893995</v>
      </c>
      <c r="O7" s="38">
        <f>COUNTIF(Vertices[Eigenvector Centrality],"&gt;= "&amp;N7)-COUNTIF(Vertices[Eigenvector Centrality],"&gt;="&amp;N8)</f>
        <v>3</v>
      </c>
      <c r="P7" s="37">
        <f t="shared" si="7"/>
        <v>0.02824408823529412</v>
      </c>
      <c r="Q7" s="38">
        <f>COUNTIF(Vertices[PageRank],"&gt;= "&amp;P7)-COUNTIF(Vertices[PageRank],"&gt;="&amp;P8)</f>
        <v>6</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48</v>
      </c>
      <c r="D8" s="30">
        <f t="shared" si="1"/>
        <v>0</v>
      </c>
      <c r="E8">
        <f>COUNTIF(Vertices[Degree],"&gt;= "&amp;D8)-COUNTIF(Vertices[Degree],"&gt;="&amp;D9)</f>
        <v>0</v>
      </c>
      <c r="F8" s="35">
        <f t="shared" si="2"/>
        <v>0.8823529411764707</v>
      </c>
      <c r="G8" s="36">
        <f>COUNTIF(Vertices[In-Degree],"&gt;= "&amp;F8)-COUNTIF(Vertices[In-Degree],"&gt;="&amp;F9)</f>
        <v>25</v>
      </c>
      <c r="H8" s="35">
        <f t="shared" si="3"/>
        <v>1.5294117647058818</v>
      </c>
      <c r="I8" s="36">
        <f>COUNTIF(Vertices[Out-Degree],"&gt;= "&amp;H8)-COUNTIF(Vertices[Out-Degree],"&gt;="&amp;H9)</f>
        <v>0</v>
      </c>
      <c r="J8" s="35">
        <f t="shared" si="4"/>
        <v>114.70588235294119</v>
      </c>
      <c r="K8" s="36">
        <f>COUNTIF(Vertices[Betweenness Centrality],"&gt;= "&amp;J8)-COUNTIF(Vertices[Betweenness Centrality],"&gt;="&amp;J9)</f>
        <v>2</v>
      </c>
      <c r="L8" s="35">
        <f t="shared" si="5"/>
        <v>0.2092237058823529</v>
      </c>
      <c r="M8" s="36">
        <f>COUNTIF(Vertices[Closeness Centrality],"&gt;= "&amp;L8)-COUNTIF(Vertices[Closeness Centrality],"&gt;="&amp;L9)</f>
        <v>3</v>
      </c>
      <c r="N8" s="35">
        <f t="shared" si="6"/>
        <v>0.10541700000000001</v>
      </c>
      <c r="O8" s="36">
        <f>COUNTIF(Vertices[Eigenvector Centrality],"&gt;= "&amp;N8)-COUNTIF(Vertices[Eigenvector Centrality],"&gt;="&amp;N9)</f>
        <v>2</v>
      </c>
      <c r="P8" s="35">
        <f t="shared" si="7"/>
        <v>0.028733705882352946</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17"/>
      <c r="B9" s="117"/>
      <c r="D9" s="30">
        <f t="shared" si="1"/>
        <v>0</v>
      </c>
      <c r="E9">
        <f>COUNTIF(Vertices[Degree],"&gt;= "&amp;D9)-COUNTIF(Vertices[Degree],"&gt;="&amp;D10)</f>
        <v>0</v>
      </c>
      <c r="F9" s="37">
        <f t="shared" si="2"/>
        <v>1.0294117647058825</v>
      </c>
      <c r="G9" s="38">
        <f>COUNTIF(Vertices[In-Degree],"&gt;= "&amp;F9)-COUNTIF(Vertices[In-Degree],"&gt;="&amp;F10)</f>
        <v>0</v>
      </c>
      <c r="H9" s="37">
        <f t="shared" si="3"/>
        <v>1.6176470588235288</v>
      </c>
      <c r="I9" s="38">
        <f>COUNTIF(Vertices[Out-Degree],"&gt;= "&amp;H9)-COUNTIF(Vertices[Out-Degree],"&gt;="&amp;H10)</f>
        <v>0</v>
      </c>
      <c r="J9" s="37">
        <f t="shared" si="4"/>
        <v>133.82352941176472</v>
      </c>
      <c r="K9" s="38">
        <f>COUNTIF(Vertices[Betweenness Centrality],"&gt;= "&amp;J9)-COUNTIF(Vertices[Betweenness Centrality],"&gt;="&amp;J10)</f>
        <v>1</v>
      </c>
      <c r="L9" s="37">
        <f t="shared" si="5"/>
        <v>0.2149938235294117</v>
      </c>
      <c r="M9" s="38">
        <f>COUNTIF(Vertices[Closeness Centrality],"&gt;= "&amp;L9)-COUNTIF(Vertices[Closeness Centrality],"&gt;="&amp;L10)</f>
        <v>0</v>
      </c>
      <c r="N9" s="37">
        <f t="shared" si="6"/>
        <v>0.12143450000000001</v>
      </c>
      <c r="O9" s="38">
        <f>COUNTIF(Vertices[Eigenvector Centrality],"&gt;= "&amp;N9)-COUNTIF(Vertices[Eigenvector Centrality],"&gt;="&amp;N10)</f>
        <v>1</v>
      </c>
      <c r="P9" s="37">
        <f t="shared" si="7"/>
        <v>0.02922332352941177</v>
      </c>
      <c r="Q9" s="38">
        <f>COUNTIF(Vertices[PageRank],"&gt;= "&amp;P9)-COUNTIF(Vertices[PageRank],"&gt;="&amp;P10)</f>
        <v>5</v>
      </c>
      <c r="R9" s="37">
        <f t="shared" si="8"/>
        <v>0.10294117647058824</v>
      </c>
      <c r="S9" s="42">
        <f>COUNTIF(Vertices[Clustering Coefficient],"&gt;= "&amp;R9)-COUNTIF(Vertices[Clustering Coefficient],"&gt;="&amp;R10)</f>
        <v>0</v>
      </c>
      <c r="T9" s="37" t="e">
        <f ca="1" t="shared" si="9"/>
        <v>#REF!</v>
      </c>
      <c r="U9" s="38" t="e">
        <f ca="1" t="shared" si="0"/>
        <v>#REF!</v>
      </c>
    </row>
    <row r="10" spans="1:21" ht="15">
      <c r="A10" s="32" t="s">
        <v>151</v>
      </c>
      <c r="B10" s="32">
        <v>4</v>
      </c>
      <c r="D10" s="30">
        <f t="shared" si="1"/>
        <v>0</v>
      </c>
      <c r="E10">
        <f>COUNTIF(Vertices[Degree],"&gt;= "&amp;D10)-COUNTIF(Vertices[Degree],"&gt;="&amp;D11)</f>
        <v>0</v>
      </c>
      <c r="F10" s="35">
        <f t="shared" si="2"/>
        <v>1.1764705882352942</v>
      </c>
      <c r="G10" s="36">
        <f>COUNTIF(Vertices[In-Degree],"&gt;= "&amp;F10)-COUNTIF(Vertices[In-Degree],"&gt;="&amp;F11)</f>
        <v>0</v>
      </c>
      <c r="H10" s="35">
        <f t="shared" si="3"/>
        <v>1.7058823529411757</v>
      </c>
      <c r="I10" s="36">
        <f>COUNTIF(Vertices[Out-Degree],"&gt;= "&amp;H10)-COUNTIF(Vertices[Out-Degree],"&gt;="&amp;H11)</f>
        <v>0</v>
      </c>
      <c r="J10" s="35">
        <f t="shared" si="4"/>
        <v>152.94117647058826</v>
      </c>
      <c r="K10" s="36">
        <f>COUNTIF(Vertices[Betweenness Centrality],"&gt;= "&amp;J10)-COUNTIF(Vertices[Betweenness Centrality],"&gt;="&amp;J11)</f>
        <v>0</v>
      </c>
      <c r="L10" s="35">
        <f t="shared" si="5"/>
        <v>0.22076394117647052</v>
      </c>
      <c r="M10" s="36">
        <f>COUNTIF(Vertices[Closeness Centrality],"&gt;= "&amp;L10)-COUNTIF(Vertices[Closeness Centrality],"&gt;="&amp;L11)</f>
        <v>5</v>
      </c>
      <c r="N10" s="35">
        <f t="shared" si="6"/>
        <v>0.13745200000000002</v>
      </c>
      <c r="O10" s="36">
        <f>COUNTIF(Vertices[Eigenvector Centrality],"&gt;= "&amp;N10)-COUNTIF(Vertices[Eigenvector Centrality],"&gt;="&amp;N11)</f>
        <v>2</v>
      </c>
      <c r="P10" s="35">
        <f t="shared" si="7"/>
        <v>0.029712941176470595</v>
      </c>
      <c r="Q10" s="36">
        <f>COUNTIF(Vertices[PageRank],"&gt;= "&amp;P10)-COUNTIF(Vertices[PageRank],"&gt;="&amp;P11)</f>
        <v>1</v>
      </c>
      <c r="R10" s="35">
        <f t="shared" si="8"/>
        <v>0.11764705882352942</v>
      </c>
      <c r="S10" s="41">
        <f>COUNTIF(Vertices[Clustering Coefficient],"&gt;= "&amp;R10)-COUNTIF(Vertices[Clustering Coefficient],"&gt;="&amp;R11)</f>
        <v>0</v>
      </c>
      <c r="T10" s="35" t="e">
        <f ca="1" t="shared" si="9"/>
        <v>#REF!</v>
      </c>
      <c r="U10" s="36" t="e">
        <f ca="1" t="shared" si="0"/>
        <v>#REF!</v>
      </c>
    </row>
    <row r="11" spans="1:21" ht="15">
      <c r="A11" s="117"/>
      <c r="B11" s="117"/>
      <c r="D11" s="30">
        <f t="shared" si="1"/>
        <v>0</v>
      </c>
      <c r="E11">
        <f>COUNTIF(Vertices[Degree],"&gt;= "&amp;D11)-COUNTIF(Vertices[Degree],"&gt;="&amp;D12)</f>
        <v>0</v>
      </c>
      <c r="F11" s="37">
        <f t="shared" si="2"/>
        <v>1.3235294117647058</v>
      </c>
      <c r="G11" s="38">
        <f>COUNTIF(Vertices[In-Degree],"&gt;= "&amp;F11)-COUNTIF(Vertices[In-Degree],"&gt;="&amp;F12)</f>
        <v>0</v>
      </c>
      <c r="H11" s="37">
        <f t="shared" si="3"/>
        <v>1.7941176470588227</v>
      </c>
      <c r="I11" s="38">
        <f>COUNTIF(Vertices[Out-Degree],"&gt;= "&amp;H11)-COUNTIF(Vertices[Out-Degree],"&gt;="&amp;H12)</f>
        <v>0</v>
      </c>
      <c r="J11" s="37">
        <f t="shared" si="4"/>
        <v>172.0588235294118</v>
      </c>
      <c r="K11" s="38">
        <f>COUNTIF(Vertices[Betweenness Centrality],"&gt;= "&amp;J11)-COUNTIF(Vertices[Betweenness Centrality],"&gt;="&amp;J12)</f>
        <v>1</v>
      </c>
      <c r="L11" s="37">
        <f t="shared" si="5"/>
        <v>0.22653405882352934</v>
      </c>
      <c r="M11" s="38">
        <f>COUNTIF(Vertices[Closeness Centrality],"&gt;= "&amp;L11)-COUNTIF(Vertices[Closeness Centrality],"&gt;="&amp;L12)</f>
        <v>2</v>
      </c>
      <c r="N11" s="37">
        <f t="shared" si="6"/>
        <v>0.1534695</v>
      </c>
      <c r="O11" s="38">
        <f>COUNTIF(Vertices[Eigenvector Centrality],"&gt;= "&amp;N11)-COUNTIF(Vertices[Eigenvector Centrality],"&gt;="&amp;N12)</f>
        <v>1</v>
      </c>
      <c r="P11" s="37">
        <f t="shared" si="7"/>
        <v>0.03020255882352942</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170</v>
      </c>
      <c r="B12" s="32">
        <v>0.1</v>
      </c>
      <c r="D12" s="30">
        <f t="shared" si="1"/>
        <v>0</v>
      </c>
      <c r="E12">
        <f>COUNTIF(Vertices[Degree],"&gt;= "&amp;D12)-COUNTIF(Vertices[Degree],"&gt;="&amp;D13)</f>
        <v>0</v>
      </c>
      <c r="F12" s="35">
        <f t="shared" si="2"/>
        <v>1.4705882352941175</v>
      </c>
      <c r="G12" s="36">
        <f>COUNTIF(Vertices[In-Degree],"&gt;= "&amp;F12)-COUNTIF(Vertices[In-Degree],"&gt;="&amp;F13)</f>
        <v>0</v>
      </c>
      <c r="H12" s="35">
        <f t="shared" si="3"/>
        <v>1.8823529411764697</v>
      </c>
      <c r="I12" s="36">
        <f>COUNTIF(Vertices[Out-Degree],"&gt;= "&amp;H12)-COUNTIF(Vertices[Out-Degree],"&gt;="&amp;H13)</f>
        <v>0</v>
      </c>
      <c r="J12" s="35">
        <f t="shared" si="4"/>
        <v>191.17647058823533</v>
      </c>
      <c r="K12" s="36">
        <f>COUNTIF(Vertices[Betweenness Centrality],"&gt;= "&amp;J12)-COUNTIF(Vertices[Betweenness Centrality],"&gt;="&amp;J13)</f>
        <v>0</v>
      </c>
      <c r="L12" s="35">
        <f t="shared" si="5"/>
        <v>0.23230417647058815</v>
      </c>
      <c r="M12" s="36">
        <f>COUNTIF(Vertices[Closeness Centrality],"&gt;= "&amp;L12)-COUNTIF(Vertices[Closeness Centrality],"&gt;="&amp;L13)</f>
        <v>2</v>
      </c>
      <c r="N12" s="35">
        <f t="shared" si="6"/>
        <v>0.169487</v>
      </c>
      <c r="O12" s="36">
        <f>COUNTIF(Vertices[Eigenvector Centrality],"&gt;= "&amp;N12)-COUNTIF(Vertices[Eigenvector Centrality],"&gt;="&amp;N13)</f>
        <v>0</v>
      </c>
      <c r="P12" s="35">
        <f t="shared" si="7"/>
        <v>0.030692176470588244</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171</v>
      </c>
      <c r="B13" s="32">
        <v>0.18181818181818182</v>
      </c>
      <c r="D13" s="30">
        <f t="shared" si="1"/>
        <v>0</v>
      </c>
      <c r="E13">
        <f>COUNTIF(Vertices[Degree],"&gt;= "&amp;D13)-COUNTIF(Vertices[Degree],"&gt;="&amp;D14)</f>
        <v>0</v>
      </c>
      <c r="F13" s="37">
        <f t="shared" si="2"/>
        <v>1.6176470588235292</v>
      </c>
      <c r="G13" s="38">
        <f>COUNTIF(Vertices[In-Degree],"&gt;= "&amp;F13)-COUNTIF(Vertices[In-Degree],"&gt;="&amp;F14)</f>
        <v>0</v>
      </c>
      <c r="H13" s="37">
        <f t="shared" si="3"/>
        <v>1.9705882352941166</v>
      </c>
      <c r="I13" s="38">
        <f>COUNTIF(Vertices[Out-Degree],"&gt;= "&amp;H13)-COUNTIF(Vertices[Out-Degree],"&gt;="&amp;H14)</f>
        <v>5</v>
      </c>
      <c r="J13" s="37">
        <f t="shared" si="4"/>
        <v>210.29411764705887</v>
      </c>
      <c r="K13" s="38">
        <f>COUNTIF(Vertices[Betweenness Centrality],"&gt;= "&amp;J13)-COUNTIF(Vertices[Betweenness Centrality],"&gt;="&amp;J14)</f>
        <v>0</v>
      </c>
      <c r="L13" s="37">
        <f t="shared" si="5"/>
        <v>0.23807429411764697</v>
      </c>
      <c r="M13" s="38">
        <f>COUNTIF(Vertices[Closeness Centrality],"&gt;= "&amp;L13)-COUNTIF(Vertices[Closeness Centrality],"&gt;="&amp;L14)</f>
        <v>0</v>
      </c>
      <c r="N13" s="37">
        <f t="shared" si="6"/>
        <v>0.1855045</v>
      </c>
      <c r="O13" s="38">
        <f>COUNTIF(Vertices[Eigenvector Centrality],"&gt;= "&amp;N13)-COUNTIF(Vertices[Eigenvector Centrality],"&gt;="&amp;N14)</f>
        <v>2</v>
      </c>
      <c r="P13" s="37">
        <f t="shared" si="7"/>
        <v>0.031181794117647068</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117"/>
      <c r="B14" s="117"/>
      <c r="D14" s="30">
        <f t="shared" si="1"/>
        <v>0</v>
      </c>
      <c r="E14">
        <f>COUNTIF(Vertices[Degree],"&gt;= "&amp;D14)-COUNTIF(Vertices[Degree],"&gt;="&amp;D15)</f>
        <v>0</v>
      </c>
      <c r="F14" s="35">
        <f t="shared" si="2"/>
        <v>1.764705882352941</v>
      </c>
      <c r="G14" s="36">
        <f>COUNTIF(Vertices[In-Degree],"&gt;= "&amp;F14)-COUNTIF(Vertices[In-Degree],"&gt;="&amp;F15)</f>
        <v>0</v>
      </c>
      <c r="H14" s="35">
        <f t="shared" si="3"/>
        <v>2.0588235294117636</v>
      </c>
      <c r="I14" s="36">
        <f>COUNTIF(Vertices[Out-Degree],"&gt;= "&amp;H14)-COUNTIF(Vertices[Out-Degree],"&gt;="&amp;H15)</f>
        <v>0</v>
      </c>
      <c r="J14" s="35">
        <f t="shared" si="4"/>
        <v>229.4117647058824</v>
      </c>
      <c r="K14" s="36">
        <f>COUNTIF(Vertices[Betweenness Centrality],"&gt;= "&amp;J14)-COUNTIF(Vertices[Betweenness Centrality],"&gt;="&amp;J15)</f>
        <v>0</v>
      </c>
      <c r="L14" s="35">
        <f t="shared" si="5"/>
        <v>0.24384441176470578</v>
      </c>
      <c r="M14" s="36">
        <f>COUNTIF(Vertices[Closeness Centrality],"&gt;= "&amp;L14)-COUNTIF(Vertices[Closeness Centrality],"&gt;="&amp;L15)</f>
        <v>0</v>
      </c>
      <c r="N14" s="35">
        <f t="shared" si="6"/>
        <v>0.20152199999999998</v>
      </c>
      <c r="O14" s="36">
        <f>COUNTIF(Vertices[Eigenvector Centrality],"&gt;= "&amp;N14)-COUNTIF(Vertices[Eigenvector Centrality],"&gt;="&amp;N15)</f>
        <v>1</v>
      </c>
      <c r="P14" s="35">
        <f t="shared" si="7"/>
        <v>0.03167141176470589</v>
      </c>
      <c r="Q14" s="36">
        <f>COUNTIF(Vertices[PageRank],"&gt;= "&amp;P14)-COUNTIF(Vertices[PageRank],"&gt;="&amp;P15)</f>
        <v>1</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0</v>
      </c>
      <c r="E15">
        <f>COUNTIF(Vertices[Degree],"&gt;= "&amp;D15)-COUNTIF(Vertices[Degree],"&gt;="&amp;D16)</f>
        <v>0</v>
      </c>
      <c r="F15" s="37">
        <f t="shared" si="2"/>
        <v>1.9117647058823526</v>
      </c>
      <c r="G15" s="38">
        <f>COUNTIF(Vertices[In-Degree],"&gt;= "&amp;F15)-COUNTIF(Vertices[In-Degree],"&gt;="&amp;F16)</f>
        <v>5</v>
      </c>
      <c r="H15" s="37">
        <f t="shared" si="3"/>
        <v>2.147058823529411</v>
      </c>
      <c r="I15" s="38">
        <f>COUNTIF(Vertices[Out-Degree],"&gt;= "&amp;H15)-COUNTIF(Vertices[Out-Degree],"&gt;="&amp;H16)</f>
        <v>0</v>
      </c>
      <c r="J15" s="37">
        <f t="shared" si="4"/>
        <v>248.52941176470594</v>
      </c>
      <c r="K15" s="38">
        <f>COUNTIF(Vertices[Betweenness Centrality],"&gt;= "&amp;J15)-COUNTIF(Vertices[Betweenness Centrality],"&gt;="&amp;J16)</f>
        <v>0</v>
      </c>
      <c r="L15" s="37">
        <f t="shared" si="5"/>
        <v>0.2496145294117646</v>
      </c>
      <c r="M15" s="38">
        <f>COUNTIF(Vertices[Closeness Centrality],"&gt;= "&amp;L15)-COUNTIF(Vertices[Closeness Centrality],"&gt;="&amp;L16)</f>
        <v>0</v>
      </c>
      <c r="N15" s="37">
        <f t="shared" si="6"/>
        <v>0.21753949999999997</v>
      </c>
      <c r="O15" s="38">
        <f>COUNTIF(Vertices[Eigenvector Centrality],"&gt;= "&amp;N15)-COUNTIF(Vertices[Eigenvector Centrality],"&gt;="&amp;N16)</f>
        <v>0</v>
      </c>
      <c r="P15" s="37">
        <f t="shared" si="7"/>
        <v>0.03216102941176471</v>
      </c>
      <c r="Q15" s="38">
        <f>COUNTIF(Vertices[PageRank],"&gt;= "&amp;P15)-COUNTIF(Vertices[PageRank],"&gt;="&amp;P16)</f>
        <v>1</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0</v>
      </c>
      <c r="E16">
        <f>COUNTIF(Vertices[Degree],"&gt;= "&amp;D16)-COUNTIF(Vertices[Degree],"&gt;="&amp;D17)</f>
        <v>0</v>
      </c>
      <c r="F16" s="35">
        <f t="shared" si="2"/>
        <v>2.0588235294117645</v>
      </c>
      <c r="G16" s="36">
        <f>COUNTIF(Vertices[In-Degree],"&gt;= "&amp;F16)-COUNTIF(Vertices[In-Degree],"&gt;="&amp;F17)</f>
        <v>0</v>
      </c>
      <c r="H16" s="35">
        <f t="shared" si="3"/>
        <v>2.235294117647058</v>
      </c>
      <c r="I16" s="36">
        <f>COUNTIF(Vertices[Out-Degree],"&gt;= "&amp;H16)-COUNTIF(Vertices[Out-Degree],"&gt;="&amp;H17)</f>
        <v>0</v>
      </c>
      <c r="J16" s="35">
        <f t="shared" si="4"/>
        <v>267.64705882352945</v>
      </c>
      <c r="K16" s="36">
        <f>COUNTIF(Vertices[Betweenness Centrality],"&gt;= "&amp;J16)-COUNTIF(Vertices[Betweenness Centrality],"&gt;="&amp;J17)</f>
        <v>0</v>
      </c>
      <c r="L16" s="35">
        <f t="shared" si="5"/>
        <v>0.2553846470588234</v>
      </c>
      <c r="M16" s="36">
        <f>COUNTIF(Vertices[Closeness Centrality],"&gt;= "&amp;L16)-COUNTIF(Vertices[Closeness Centrality],"&gt;="&amp;L17)</f>
        <v>2</v>
      </c>
      <c r="N16" s="35">
        <f t="shared" si="6"/>
        <v>0.23355699999999996</v>
      </c>
      <c r="O16" s="36">
        <f>COUNTIF(Vertices[Eigenvector Centrality],"&gt;= "&amp;N16)-COUNTIF(Vertices[Eigenvector Centrality],"&gt;="&amp;N17)</f>
        <v>3</v>
      </c>
      <c r="P16" s="35">
        <f t="shared" si="7"/>
        <v>0.032650647058823534</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154</v>
      </c>
      <c r="B17" s="32">
        <v>34</v>
      </c>
      <c r="D17" s="30">
        <f t="shared" si="1"/>
        <v>0</v>
      </c>
      <c r="E17">
        <f>COUNTIF(Vertices[Degree],"&gt;= "&amp;D17)-COUNTIF(Vertices[Degree],"&gt;="&amp;D18)</f>
        <v>0</v>
      </c>
      <c r="F17" s="37">
        <f t="shared" si="2"/>
        <v>2.205882352941176</v>
      </c>
      <c r="G17" s="38">
        <f>COUNTIF(Vertices[In-Degree],"&gt;= "&amp;F17)-COUNTIF(Vertices[In-Degree],"&gt;="&amp;F18)</f>
        <v>0</v>
      </c>
      <c r="H17" s="37">
        <f t="shared" si="3"/>
        <v>2.323529411764705</v>
      </c>
      <c r="I17" s="38">
        <f>COUNTIF(Vertices[Out-Degree],"&gt;= "&amp;H17)-COUNTIF(Vertices[Out-Degree],"&gt;="&amp;H18)</f>
        <v>0</v>
      </c>
      <c r="J17" s="37">
        <f t="shared" si="4"/>
        <v>286.764705882353</v>
      </c>
      <c r="K17" s="38">
        <f>COUNTIF(Vertices[Betweenness Centrality],"&gt;= "&amp;J17)-COUNTIF(Vertices[Betweenness Centrality],"&gt;="&amp;J18)</f>
        <v>0</v>
      </c>
      <c r="L17" s="37">
        <f t="shared" si="5"/>
        <v>0.2611547647058822</v>
      </c>
      <c r="M17" s="38">
        <f>COUNTIF(Vertices[Closeness Centrality],"&gt;= "&amp;L17)-COUNTIF(Vertices[Closeness Centrality],"&gt;="&amp;L18)</f>
        <v>3</v>
      </c>
      <c r="N17" s="37">
        <f t="shared" si="6"/>
        <v>0.24957449999999995</v>
      </c>
      <c r="O17" s="38">
        <f>COUNTIF(Vertices[Eigenvector Centrality],"&gt;= "&amp;N17)-COUNTIF(Vertices[Eigenvector Centrality],"&gt;="&amp;N18)</f>
        <v>1</v>
      </c>
      <c r="P17" s="37">
        <f t="shared" si="7"/>
        <v>0.033140264705882355</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155</v>
      </c>
      <c r="B18" s="32">
        <v>48</v>
      </c>
      <c r="D18" s="30">
        <f t="shared" si="1"/>
        <v>0</v>
      </c>
      <c r="E18">
        <f>COUNTIF(Vertices[Degree],"&gt;= "&amp;D18)-COUNTIF(Vertices[Degree],"&gt;="&amp;D19)</f>
        <v>0</v>
      </c>
      <c r="F18" s="35">
        <f t="shared" si="2"/>
        <v>2.352941176470588</v>
      </c>
      <c r="G18" s="36">
        <f>COUNTIF(Vertices[In-Degree],"&gt;= "&amp;F18)-COUNTIF(Vertices[In-Degree],"&gt;="&amp;F19)</f>
        <v>0</v>
      </c>
      <c r="H18" s="35">
        <f t="shared" si="3"/>
        <v>2.4117647058823524</v>
      </c>
      <c r="I18" s="36">
        <f>COUNTIF(Vertices[Out-Degree],"&gt;= "&amp;H18)-COUNTIF(Vertices[Out-Degree],"&gt;="&amp;H19)</f>
        <v>0</v>
      </c>
      <c r="J18" s="35">
        <f t="shared" si="4"/>
        <v>305.8823529411765</v>
      </c>
      <c r="K18" s="36">
        <f>COUNTIF(Vertices[Betweenness Centrality],"&gt;= "&amp;J18)-COUNTIF(Vertices[Betweenness Centrality],"&gt;="&amp;J19)</f>
        <v>0</v>
      </c>
      <c r="L18" s="35">
        <f t="shared" si="5"/>
        <v>0.26692488235294104</v>
      </c>
      <c r="M18" s="36">
        <f>COUNTIF(Vertices[Closeness Centrality],"&gt;= "&amp;L18)-COUNTIF(Vertices[Closeness Centrality],"&gt;="&amp;L19)</f>
        <v>1</v>
      </c>
      <c r="N18" s="35">
        <f t="shared" si="6"/>
        <v>0.26559199999999994</v>
      </c>
      <c r="O18" s="36">
        <f>COUNTIF(Vertices[Eigenvector Centrality],"&gt;= "&amp;N18)-COUNTIF(Vertices[Eigenvector Centrality],"&gt;="&amp;N19)</f>
        <v>0</v>
      </c>
      <c r="P18" s="35">
        <f t="shared" si="7"/>
        <v>0.033629882352941176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17"/>
      <c r="B19" s="117"/>
      <c r="D19" s="30">
        <f t="shared" si="1"/>
        <v>0</v>
      </c>
      <c r="E19">
        <f>COUNTIF(Vertices[Degree],"&gt;= "&amp;D19)-COUNTIF(Vertices[Degree],"&gt;="&amp;D20)</f>
        <v>0</v>
      </c>
      <c r="F19" s="37">
        <f t="shared" si="2"/>
        <v>2.4999999999999996</v>
      </c>
      <c r="G19" s="38">
        <f>COUNTIF(Vertices[In-Degree],"&gt;= "&amp;F19)-COUNTIF(Vertices[In-Degree],"&gt;="&amp;F20)</f>
        <v>0</v>
      </c>
      <c r="H19" s="37">
        <f t="shared" si="3"/>
        <v>2.4999999999999996</v>
      </c>
      <c r="I19" s="38">
        <f>COUNTIF(Vertices[Out-Degree],"&gt;= "&amp;H19)-COUNTIF(Vertices[Out-Degree],"&gt;="&amp;H20)</f>
        <v>0</v>
      </c>
      <c r="J19" s="37">
        <f t="shared" si="4"/>
        <v>325.00000000000006</v>
      </c>
      <c r="K19" s="38">
        <f>COUNTIF(Vertices[Betweenness Centrality],"&gt;= "&amp;J19)-COUNTIF(Vertices[Betweenness Centrality],"&gt;="&amp;J20)</f>
        <v>2</v>
      </c>
      <c r="L19" s="37">
        <f t="shared" si="5"/>
        <v>0.27269499999999985</v>
      </c>
      <c r="M19" s="38">
        <f>COUNTIF(Vertices[Closeness Centrality],"&gt;= "&amp;L19)-COUNTIF(Vertices[Closeness Centrality],"&gt;="&amp;L20)</f>
        <v>3</v>
      </c>
      <c r="N19" s="37">
        <f t="shared" si="6"/>
        <v>0.28160949999999996</v>
      </c>
      <c r="O19" s="38">
        <f>COUNTIF(Vertices[Eigenvector Centrality],"&gt;= "&amp;N19)-COUNTIF(Vertices[Eigenvector Centrality],"&gt;="&amp;N20)</f>
        <v>0</v>
      </c>
      <c r="P19" s="37">
        <f t="shared" si="7"/>
        <v>0.0341195</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32" t="s">
        <v>156</v>
      </c>
      <c r="B20" s="32">
        <v>8</v>
      </c>
      <c r="D20" s="30">
        <f t="shared" si="1"/>
        <v>0</v>
      </c>
      <c r="E20">
        <f>COUNTIF(Vertices[Degree],"&gt;= "&amp;D20)-COUNTIF(Vertices[Degree],"&gt;="&amp;D21)</f>
        <v>0</v>
      </c>
      <c r="F20" s="35">
        <f t="shared" si="2"/>
        <v>2.6470588235294112</v>
      </c>
      <c r="G20" s="36">
        <f>COUNTIF(Vertices[In-Degree],"&gt;= "&amp;F20)-COUNTIF(Vertices[In-Degree],"&gt;="&amp;F21)</f>
        <v>0</v>
      </c>
      <c r="H20" s="35">
        <f t="shared" si="3"/>
        <v>2.5882352941176467</v>
      </c>
      <c r="I20" s="36">
        <f>COUNTIF(Vertices[Out-Degree],"&gt;= "&amp;H20)-COUNTIF(Vertices[Out-Degree],"&gt;="&amp;H21)</f>
        <v>0</v>
      </c>
      <c r="J20" s="35">
        <f t="shared" si="4"/>
        <v>344.1176470588236</v>
      </c>
      <c r="K20" s="36">
        <f>COUNTIF(Vertices[Betweenness Centrality],"&gt;= "&amp;J20)-COUNTIF(Vertices[Betweenness Centrality],"&gt;="&amp;J21)</f>
        <v>0</v>
      </c>
      <c r="L20" s="35">
        <f t="shared" si="5"/>
        <v>0.27846511764705867</v>
      </c>
      <c r="M20" s="36">
        <f>COUNTIF(Vertices[Closeness Centrality],"&gt;= "&amp;L20)-COUNTIF(Vertices[Closeness Centrality],"&gt;="&amp;L21)</f>
        <v>3</v>
      </c>
      <c r="N20" s="35">
        <f t="shared" si="6"/>
        <v>0.297627</v>
      </c>
      <c r="O20" s="36">
        <f>COUNTIF(Vertices[Eigenvector Centrality],"&gt;= "&amp;N20)-COUNTIF(Vertices[Eigenvector Centrality],"&gt;="&amp;N21)</f>
        <v>0</v>
      </c>
      <c r="P20" s="35">
        <f t="shared" si="7"/>
        <v>0.03460911764705882</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157</v>
      </c>
      <c r="B21" s="32">
        <v>3.903114</v>
      </c>
      <c r="D21" s="30">
        <f t="shared" si="1"/>
        <v>0</v>
      </c>
      <c r="E21">
        <f>COUNTIF(Vertices[Degree],"&gt;= "&amp;D21)-COUNTIF(Vertices[Degree],"&gt;="&amp;D22)</f>
        <v>0</v>
      </c>
      <c r="F21" s="37">
        <f t="shared" si="2"/>
        <v>2.794117647058823</v>
      </c>
      <c r="G21" s="38">
        <f>COUNTIF(Vertices[In-Degree],"&gt;= "&amp;F21)-COUNTIF(Vertices[In-Degree],"&gt;="&amp;F22)</f>
        <v>0</v>
      </c>
      <c r="H21" s="37">
        <f t="shared" si="3"/>
        <v>2.676470588235294</v>
      </c>
      <c r="I21" s="38">
        <f>COUNTIF(Vertices[Out-Degree],"&gt;= "&amp;H21)-COUNTIF(Vertices[Out-Degree],"&gt;="&amp;H22)</f>
        <v>0</v>
      </c>
      <c r="J21" s="37">
        <f t="shared" si="4"/>
        <v>363.23529411764713</v>
      </c>
      <c r="K21" s="38">
        <f>COUNTIF(Vertices[Betweenness Centrality],"&gt;= "&amp;J21)-COUNTIF(Vertices[Betweenness Centrality],"&gt;="&amp;J22)</f>
        <v>1</v>
      </c>
      <c r="L21" s="37">
        <f t="shared" si="5"/>
        <v>0.2842352352941175</v>
      </c>
      <c r="M21" s="38">
        <f>COUNTIF(Vertices[Closeness Centrality],"&gt;= "&amp;L21)-COUNTIF(Vertices[Closeness Centrality],"&gt;="&amp;L22)</f>
        <v>0</v>
      </c>
      <c r="N21" s="37">
        <f t="shared" si="6"/>
        <v>0.3136445</v>
      </c>
      <c r="O21" s="38">
        <f>COUNTIF(Vertices[Eigenvector Centrality],"&gt;= "&amp;N21)-COUNTIF(Vertices[Eigenvector Centrality],"&gt;="&amp;N22)</f>
        <v>0</v>
      </c>
      <c r="P21" s="37">
        <f t="shared" si="7"/>
        <v>0.03509873529411764</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17"/>
      <c r="B22" s="117"/>
      <c r="D22" s="30">
        <f t="shared" si="1"/>
        <v>0</v>
      </c>
      <c r="E22">
        <f>COUNTIF(Vertices[Degree],"&gt;= "&amp;D22)-COUNTIF(Vertices[Degree],"&gt;="&amp;D23)</f>
        <v>0</v>
      </c>
      <c r="F22" s="35">
        <f t="shared" si="2"/>
        <v>2.9411764705882346</v>
      </c>
      <c r="G22" s="36">
        <f>COUNTIF(Vertices[In-Degree],"&gt;= "&amp;F22)-COUNTIF(Vertices[In-Degree],"&gt;="&amp;F23)</f>
        <v>0</v>
      </c>
      <c r="H22" s="35">
        <f t="shared" si="3"/>
        <v>2.764705882352941</v>
      </c>
      <c r="I22" s="36">
        <f>COUNTIF(Vertices[Out-Degree],"&gt;= "&amp;H22)-COUNTIF(Vertices[Out-Degree],"&gt;="&amp;H23)</f>
        <v>0</v>
      </c>
      <c r="J22" s="35">
        <f t="shared" si="4"/>
        <v>382.35294117647067</v>
      </c>
      <c r="K22" s="36">
        <f>COUNTIF(Vertices[Betweenness Centrality],"&gt;= "&amp;J22)-COUNTIF(Vertices[Betweenness Centrality],"&gt;="&amp;J23)</f>
        <v>0</v>
      </c>
      <c r="L22" s="35">
        <f t="shared" si="5"/>
        <v>0.2900053529411763</v>
      </c>
      <c r="M22" s="36">
        <f>COUNTIF(Vertices[Closeness Centrality],"&gt;= "&amp;L22)-COUNTIF(Vertices[Closeness Centrality],"&gt;="&amp;L23)</f>
        <v>0</v>
      </c>
      <c r="N22" s="35">
        <f t="shared" si="6"/>
        <v>0.329662</v>
      </c>
      <c r="O22" s="36">
        <f>COUNTIF(Vertices[Eigenvector Centrality],"&gt;= "&amp;N22)-COUNTIF(Vertices[Eigenvector Centrality],"&gt;="&amp;N23)</f>
        <v>0</v>
      </c>
      <c r="P22" s="35">
        <f t="shared" si="7"/>
        <v>0.03558835294117646</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158</v>
      </c>
      <c r="B23" s="32">
        <v>0.0392156862745098</v>
      </c>
      <c r="D23" s="30">
        <f t="shared" si="1"/>
        <v>0</v>
      </c>
      <c r="E23">
        <f>COUNTIF(Vertices[Degree],"&gt;= "&amp;D23)-COUNTIF(Vertices[Degree],"&gt;="&amp;D24)</f>
        <v>0</v>
      </c>
      <c r="F23" s="37">
        <f t="shared" si="2"/>
        <v>3.0882352941176463</v>
      </c>
      <c r="G23" s="38">
        <f>COUNTIF(Vertices[In-Degree],"&gt;= "&amp;F23)-COUNTIF(Vertices[In-Degree],"&gt;="&amp;F24)</f>
        <v>0</v>
      </c>
      <c r="H23" s="37">
        <f t="shared" si="3"/>
        <v>2.8529411764705883</v>
      </c>
      <c r="I23" s="38">
        <f>COUNTIF(Vertices[Out-Degree],"&gt;= "&amp;H23)-COUNTIF(Vertices[Out-Degree],"&gt;="&amp;H24)</f>
        <v>0</v>
      </c>
      <c r="J23" s="37">
        <f t="shared" si="4"/>
        <v>401.4705882352942</v>
      </c>
      <c r="K23" s="38">
        <f>COUNTIF(Vertices[Betweenness Centrality],"&gt;= "&amp;J23)-COUNTIF(Vertices[Betweenness Centrality],"&gt;="&amp;J24)</f>
        <v>0</v>
      </c>
      <c r="L23" s="37">
        <f t="shared" si="5"/>
        <v>0.2957754705882351</v>
      </c>
      <c r="M23" s="38">
        <f>COUNTIF(Vertices[Closeness Centrality],"&gt;= "&amp;L23)-COUNTIF(Vertices[Closeness Centrality],"&gt;="&amp;L24)</f>
        <v>0</v>
      </c>
      <c r="N23" s="37">
        <f t="shared" si="6"/>
        <v>0.34567950000000003</v>
      </c>
      <c r="O23" s="38">
        <f>COUNTIF(Vertices[Eigenvector Centrality],"&gt;= "&amp;N23)-COUNTIF(Vertices[Eigenvector Centrality],"&gt;="&amp;N24)</f>
        <v>0</v>
      </c>
      <c r="P23" s="37">
        <f t="shared" si="7"/>
        <v>0.03607797058823528</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421</v>
      </c>
      <c r="B24" s="32">
        <v>0.549913</v>
      </c>
      <c r="D24" s="30">
        <f t="shared" si="1"/>
        <v>0</v>
      </c>
      <c r="E24">
        <f>COUNTIF(Vertices[Degree],"&gt;= "&amp;D24)-COUNTIF(Vertices[Degree],"&gt;="&amp;D25)</f>
        <v>0</v>
      </c>
      <c r="F24" s="35">
        <f t="shared" si="2"/>
        <v>3.235294117647058</v>
      </c>
      <c r="G24" s="36">
        <f>COUNTIF(Vertices[In-Degree],"&gt;= "&amp;F24)-COUNTIF(Vertices[In-Degree],"&gt;="&amp;F25)</f>
        <v>0</v>
      </c>
      <c r="H24" s="35">
        <f t="shared" si="3"/>
        <v>2.9411764705882355</v>
      </c>
      <c r="I24" s="36">
        <f>COUNTIF(Vertices[Out-Degree],"&gt;= "&amp;H24)-COUNTIF(Vertices[Out-Degree],"&gt;="&amp;H25)</f>
        <v>0</v>
      </c>
      <c r="J24" s="35">
        <f t="shared" si="4"/>
        <v>420.58823529411774</v>
      </c>
      <c r="K24" s="36">
        <f>COUNTIF(Vertices[Betweenness Centrality],"&gt;= "&amp;J24)-COUNTIF(Vertices[Betweenness Centrality],"&gt;="&amp;J25)</f>
        <v>0</v>
      </c>
      <c r="L24" s="35">
        <f t="shared" si="5"/>
        <v>0.3015455882352939</v>
      </c>
      <c r="M24" s="36">
        <f>COUNTIF(Vertices[Closeness Centrality],"&gt;= "&amp;L24)-COUNTIF(Vertices[Closeness Centrality],"&gt;="&amp;L25)</f>
        <v>2</v>
      </c>
      <c r="N24" s="35">
        <f t="shared" si="6"/>
        <v>0.36169700000000005</v>
      </c>
      <c r="O24" s="36">
        <f>COUNTIF(Vertices[Eigenvector Centrality],"&gt;= "&amp;N24)-COUNTIF(Vertices[Eigenvector Centrality],"&gt;="&amp;N25)</f>
        <v>0</v>
      </c>
      <c r="P24" s="35">
        <f t="shared" si="7"/>
        <v>0.0365675882352941</v>
      </c>
      <c r="Q24" s="36">
        <f>COUNTIF(Vertices[PageRank],"&gt;= "&amp;P24)-COUNTIF(Vertices[PageRank],"&gt;="&amp;P25)</f>
        <v>1</v>
      </c>
      <c r="R24" s="35">
        <f t="shared" si="8"/>
        <v>0.3235294117647059</v>
      </c>
      <c r="S24" s="41">
        <f>COUNTIF(Vertices[Clustering Coefficient],"&gt;= "&amp;R24)-COUNTIF(Vertices[Clustering Coefficient],"&gt;="&amp;R25)</f>
        <v>0</v>
      </c>
      <c r="T24" s="35" t="e">
        <f ca="1" t="shared" si="9"/>
        <v>#REF!</v>
      </c>
      <c r="U24" s="36" t="e">
        <f ca="1" t="shared" si="0"/>
        <v>#REF!</v>
      </c>
    </row>
    <row r="25" spans="1:21" ht="15">
      <c r="A25" s="117"/>
      <c r="B25" s="117"/>
      <c r="D25" s="30">
        <f t="shared" si="1"/>
        <v>0</v>
      </c>
      <c r="E25">
        <f>COUNTIF(Vertices[Degree],"&gt;= "&amp;D25)-COUNTIF(Vertices[Degree],"&gt;="&amp;D26)</f>
        <v>0</v>
      </c>
      <c r="F25" s="37">
        <f t="shared" si="2"/>
        <v>3.3823529411764697</v>
      </c>
      <c r="G25" s="38">
        <f>COUNTIF(Vertices[In-Degree],"&gt;= "&amp;F25)-COUNTIF(Vertices[In-Degree],"&gt;="&amp;F26)</f>
        <v>0</v>
      </c>
      <c r="H25" s="37">
        <f t="shared" si="3"/>
        <v>3.0294117647058827</v>
      </c>
      <c r="I25" s="38">
        <f>COUNTIF(Vertices[Out-Degree],"&gt;= "&amp;H25)-COUNTIF(Vertices[Out-Degree],"&gt;="&amp;H26)</f>
        <v>0</v>
      </c>
      <c r="J25" s="37">
        <f t="shared" si="4"/>
        <v>439.7058823529413</v>
      </c>
      <c r="K25" s="38">
        <f>COUNTIF(Vertices[Betweenness Centrality],"&gt;= "&amp;J25)-COUNTIF(Vertices[Betweenness Centrality],"&gt;="&amp;J26)</f>
        <v>0</v>
      </c>
      <c r="L25" s="37">
        <f t="shared" si="5"/>
        <v>0.30731570588235274</v>
      </c>
      <c r="M25" s="38">
        <f>COUNTIF(Vertices[Closeness Centrality],"&gt;= "&amp;L25)-COUNTIF(Vertices[Closeness Centrality],"&gt;="&amp;L26)</f>
        <v>2</v>
      </c>
      <c r="N25" s="37">
        <f t="shared" si="6"/>
        <v>0.37771450000000006</v>
      </c>
      <c r="O25" s="38">
        <f>COUNTIF(Vertices[Eigenvector Centrality],"&gt;= "&amp;N25)-COUNTIF(Vertices[Eigenvector Centrality],"&gt;="&amp;N26)</f>
        <v>1</v>
      </c>
      <c r="P25" s="37">
        <f t="shared" si="7"/>
        <v>0.03705720588235292</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422</v>
      </c>
      <c r="B26" s="32" t="s">
        <v>437</v>
      </c>
      <c r="D26" s="30">
        <f t="shared" si="1"/>
        <v>0</v>
      </c>
      <c r="E26">
        <f>COUNTIF(Vertices[Degree],"&gt;= "&amp;D26)-COUNTIF(Vertices[Degree],"&gt;="&amp;D27)</f>
        <v>0</v>
      </c>
      <c r="F26" s="35">
        <f t="shared" si="2"/>
        <v>3.5294117647058814</v>
      </c>
      <c r="G26" s="36">
        <f>COUNTIF(Vertices[In-Degree],"&gt;= "&amp;F26)-COUNTIF(Vertices[In-Degree],"&gt;="&amp;F27)</f>
        <v>0</v>
      </c>
      <c r="H26" s="35">
        <f t="shared" si="3"/>
        <v>3.11764705882353</v>
      </c>
      <c r="I26" s="36">
        <f>COUNTIF(Vertices[Out-Degree],"&gt;= "&amp;H26)-COUNTIF(Vertices[Out-Degree],"&gt;="&amp;H27)</f>
        <v>0</v>
      </c>
      <c r="J26" s="35">
        <f t="shared" si="4"/>
        <v>458.8235294117648</v>
      </c>
      <c r="K26" s="36">
        <f>COUNTIF(Vertices[Betweenness Centrality],"&gt;= "&amp;J26)-COUNTIF(Vertices[Betweenness Centrality],"&gt;="&amp;J27)</f>
        <v>0</v>
      </c>
      <c r="L26" s="35">
        <f t="shared" si="5"/>
        <v>0.31308582352941156</v>
      </c>
      <c r="M26" s="36">
        <f>COUNTIF(Vertices[Closeness Centrality],"&gt;= "&amp;L26)-COUNTIF(Vertices[Closeness Centrality],"&gt;="&amp;L27)</f>
        <v>0</v>
      </c>
      <c r="N26" s="35">
        <f t="shared" si="6"/>
        <v>0.3937320000000001</v>
      </c>
      <c r="O26" s="36">
        <f>COUNTIF(Vertices[Eigenvector Centrality],"&gt;= "&amp;N26)-COUNTIF(Vertices[Eigenvector Centrality],"&gt;="&amp;N27)</f>
        <v>0</v>
      </c>
      <c r="P26" s="35">
        <f t="shared" si="7"/>
        <v>0.037546823529411744</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7"/>
      <c r="B27" s="117"/>
      <c r="D27" s="30">
        <f t="shared" si="1"/>
        <v>0</v>
      </c>
      <c r="E27">
        <f>COUNTIF(Vertices[Degree],"&gt;= "&amp;D27)-COUNTIF(Vertices[Degree],"&gt;="&amp;D28)</f>
        <v>0</v>
      </c>
      <c r="F27" s="37">
        <f t="shared" si="2"/>
        <v>3.676470588235293</v>
      </c>
      <c r="G27" s="38">
        <f>COUNTIF(Vertices[In-Degree],"&gt;= "&amp;F27)-COUNTIF(Vertices[In-Degree],"&gt;="&amp;F28)</f>
        <v>0</v>
      </c>
      <c r="H27" s="37">
        <f t="shared" si="3"/>
        <v>3.205882352941177</v>
      </c>
      <c r="I27" s="38">
        <f>COUNTIF(Vertices[Out-Degree],"&gt;= "&amp;H27)-COUNTIF(Vertices[Out-Degree],"&gt;="&amp;H28)</f>
        <v>0</v>
      </c>
      <c r="J27" s="37">
        <f t="shared" si="4"/>
        <v>477.94117647058835</v>
      </c>
      <c r="K27" s="38">
        <f>COUNTIF(Vertices[Betweenness Centrality],"&gt;= "&amp;J27)-COUNTIF(Vertices[Betweenness Centrality],"&gt;="&amp;J28)</f>
        <v>0</v>
      </c>
      <c r="L27" s="37">
        <f t="shared" si="5"/>
        <v>0.31885594117647037</v>
      </c>
      <c r="M27" s="38">
        <f>COUNTIF(Vertices[Closeness Centrality],"&gt;= "&amp;L27)-COUNTIF(Vertices[Closeness Centrality],"&gt;="&amp;L28)</f>
        <v>0</v>
      </c>
      <c r="N27" s="37">
        <f t="shared" si="6"/>
        <v>0.4097495000000001</v>
      </c>
      <c r="O27" s="38">
        <f>COUNTIF(Vertices[Eigenvector Centrality],"&gt;= "&amp;N27)-COUNTIF(Vertices[Eigenvector Centrality],"&gt;="&amp;N28)</f>
        <v>0</v>
      </c>
      <c r="P27" s="37">
        <f t="shared" si="7"/>
        <v>0.038036441176470565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423</v>
      </c>
      <c r="B28" s="32" t="s">
        <v>583</v>
      </c>
      <c r="D28" s="30">
        <f t="shared" si="1"/>
        <v>0</v>
      </c>
      <c r="E28">
        <f>COUNTIF(Vertices[Degree],"&gt;= "&amp;D28)-COUNTIF(Vertices[Degree],"&gt;="&amp;D29)</f>
        <v>0</v>
      </c>
      <c r="F28" s="35">
        <f t="shared" si="2"/>
        <v>3.8235294117647047</v>
      </c>
      <c r="G28" s="36">
        <f>COUNTIF(Vertices[In-Degree],"&gt;= "&amp;F28)-COUNTIF(Vertices[In-Degree],"&gt;="&amp;F29)</f>
        <v>0</v>
      </c>
      <c r="H28" s="35">
        <f t="shared" si="3"/>
        <v>3.2941176470588243</v>
      </c>
      <c r="I28" s="36">
        <f>COUNTIF(Vertices[Out-Degree],"&gt;= "&amp;H28)-COUNTIF(Vertices[Out-Degree],"&gt;="&amp;H29)</f>
        <v>0</v>
      </c>
      <c r="J28" s="35">
        <f t="shared" si="4"/>
        <v>497.0588235294119</v>
      </c>
      <c r="K28" s="36">
        <f>COUNTIF(Vertices[Betweenness Centrality],"&gt;= "&amp;J28)-COUNTIF(Vertices[Betweenness Centrality],"&gt;="&amp;J29)</f>
        <v>1</v>
      </c>
      <c r="L28" s="35">
        <f t="shared" si="5"/>
        <v>0.3246260588235292</v>
      </c>
      <c r="M28" s="36">
        <f>COUNTIF(Vertices[Closeness Centrality],"&gt;= "&amp;L28)-COUNTIF(Vertices[Closeness Centrality],"&gt;="&amp;L29)</f>
        <v>0</v>
      </c>
      <c r="N28" s="35">
        <f t="shared" si="6"/>
        <v>0.4257670000000001</v>
      </c>
      <c r="O28" s="36">
        <f>COUNTIF(Vertices[Eigenvector Centrality],"&gt;= "&amp;N28)-COUNTIF(Vertices[Eigenvector Centrality],"&gt;="&amp;N29)</f>
        <v>0</v>
      </c>
      <c r="P28" s="35">
        <f t="shared" si="7"/>
        <v>0.038526058823529385</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424</v>
      </c>
      <c r="B29" s="32" t="s">
        <v>584</v>
      </c>
      <c r="D29" s="30">
        <f t="shared" si="1"/>
        <v>0</v>
      </c>
      <c r="E29">
        <f>COUNTIF(Vertices[Degree],"&gt;= "&amp;D29)-COUNTIF(Vertices[Degree],"&gt;="&amp;D30)</f>
        <v>0</v>
      </c>
      <c r="F29" s="37">
        <f t="shared" si="2"/>
        <v>3.9705882352941164</v>
      </c>
      <c r="G29" s="38">
        <f>COUNTIF(Vertices[In-Degree],"&gt;= "&amp;F29)-COUNTIF(Vertices[In-Degree],"&gt;="&amp;F30)</f>
        <v>2</v>
      </c>
      <c r="H29" s="37">
        <f t="shared" si="3"/>
        <v>3.3823529411764715</v>
      </c>
      <c r="I29" s="38">
        <f>COUNTIF(Vertices[Out-Degree],"&gt;= "&amp;H29)-COUNTIF(Vertices[Out-Degree],"&gt;="&amp;H30)</f>
        <v>0</v>
      </c>
      <c r="J29" s="37">
        <f t="shared" si="4"/>
        <v>516.1764705882354</v>
      </c>
      <c r="K29" s="38">
        <f>COUNTIF(Vertices[Betweenness Centrality],"&gt;= "&amp;J29)-COUNTIF(Vertices[Betweenness Centrality],"&gt;="&amp;J30)</f>
        <v>0</v>
      </c>
      <c r="L29" s="37">
        <f t="shared" si="5"/>
        <v>0.330396176470588</v>
      </c>
      <c r="M29" s="38">
        <f>COUNTIF(Vertices[Closeness Centrality],"&gt;= "&amp;L29)-COUNTIF(Vertices[Closeness Centrality],"&gt;="&amp;L30)</f>
        <v>0</v>
      </c>
      <c r="N29" s="37">
        <f t="shared" si="6"/>
        <v>0.44178450000000014</v>
      </c>
      <c r="O29" s="38">
        <f>COUNTIF(Vertices[Eigenvector Centrality],"&gt;= "&amp;N29)-COUNTIF(Vertices[Eigenvector Centrality],"&gt;="&amp;N30)</f>
        <v>0</v>
      </c>
      <c r="P29" s="37">
        <f t="shared" si="7"/>
        <v>0.039015676470588206</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17"/>
      <c r="B30" s="117"/>
      <c r="D30" s="30">
        <f t="shared" si="1"/>
        <v>0</v>
      </c>
      <c r="E30">
        <f>COUNTIF(Vertices[Degree],"&gt;= "&amp;D30)-COUNTIF(Vertices[Degree],"&gt;="&amp;D31)</f>
        <v>0</v>
      </c>
      <c r="F30" s="35">
        <f t="shared" si="2"/>
        <v>4.117647058823528</v>
      </c>
      <c r="G30" s="36">
        <f>COUNTIF(Vertices[In-Degree],"&gt;= "&amp;F30)-COUNTIF(Vertices[In-Degree],"&gt;="&amp;F31)</f>
        <v>0</v>
      </c>
      <c r="H30" s="35">
        <f t="shared" si="3"/>
        <v>3.4705882352941186</v>
      </c>
      <c r="I30" s="36">
        <f>COUNTIF(Vertices[Out-Degree],"&gt;= "&amp;H30)-COUNTIF(Vertices[Out-Degree],"&gt;="&amp;H31)</f>
        <v>0</v>
      </c>
      <c r="J30" s="35">
        <f t="shared" si="4"/>
        <v>535.2941176470589</v>
      </c>
      <c r="K30" s="36">
        <f>COUNTIF(Vertices[Betweenness Centrality],"&gt;= "&amp;J30)-COUNTIF(Vertices[Betweenness Centrality],"&gt;="&amp;J31)</f>
        <v>0</v>
      </c>
      <c r="L30" s="35">
        <f t="shared" si="5"/>
        <v>0.3361662941176468</v>
      </c>
      <c r="M30" s="36">
        <f>COUNTIF(Vertices[Closeness Centrality],"&gt;= "&amp;L30)-COUNTIF(Vertices[Closeness Centrality],"&gt;="&amp;L31)</f>
        <v>0</v>
      </c>
      <c r="N30" s="35">
        <f t="shared" si="6"/>
        <v>0.45780200000000015</v>
      </c>
      <c r="O30" s="36">
        <f>COUNTIF(Vertices[Eigenvector Centrality],"&gt;= "&amp;N30)-COUNTIF(Vertices[Eigenvector Centrality],"&gt;="&amp;N31)</f>
        <v>0</v>
      </c>
      <c r="P30" s="35">
        <f t="shared" si="7"/>
        <v>0.03950529411764703</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425</v>
      </c>
      <c r="B31" s="32" t="s">
        <v>438</v>
      </c>
      <c r="D31" s="30">
        <f t="shared" si="1"/>
        <v>0</v>
      </c>
      <c r="E31">
        <f>COUNTIF(Vertices[Degree],"&gt;= "&amp;D31)-COUNTIF(Vertices[Degree],"&gt;="&amp;D32)</f>
        <v>0</v>
      </c>
      <c r="F31" s="37">
        <f t="shared" si="2"/>
        <v>4.26470588235294</v>
      </c>
      <c r="G31" s="38">
        <f>COUNTIF(Vertices[In-Degree],"&gt;= "&amp;F31)-COUNTIF(Vertices[In-Degree],"&gt;="&amp;F32)</f>
        <v>0</v>
      </c>
      <c r="H31" s="37">
        <f t="shared" si="3"/>
        <v>3.558823529411766</v>
      </c>
      <c r="I31" s="38">
        <f>COUNTIF(Vertices[Out-Degree],"&gt;= "&amp;H31)-COUNTIF(Vertices[Out-Degree],"&gt;="&amp;H32)</f>
        <v>0</v>
      </c>
      <c r="J31" s="37">
        <f t="shared" si="4"/>
        <v>554.4117647058824</v>
      </c>
      <c r="K31" s="38">
        <f>COUNTIF(Vertices[Betweenness Centrality],"&gt;= "&amp;J31)-COUNTIF(Vertices[Betweenness Centrality],"&gt;="&amp;J32)</f>
        <v>0</v>
      </c>
      <c r="L31" s="37">
        <f t="shared" si="5"/>
        <v>0.34193641176470563</v>
      </c>
      <c r="M31" s="38">
        <f>COUNTIF(Vertices[Closeness Centrality],"&gt;= "&amp;L31)-COUNTIF(Vertices[Closeness Centrality],"&gt;="&amp;L32)</f>
        <v>1</v>
      </c>
      <c r="N31" s="37">
        <f t="shared" si="6"/>
        <v>0.47381950000000017</v>
      </c>
      <c r="O31" s="38">
        <f>COUNTIF(Vertices[Eigenvector Centrality],"&gt;= "&amp;N31)-COUNTIF(Vertices[Eigenvector Centrality],"&gt;="&amp;N32)</f>
        <v>0</v>
      </c>
      <c r="P31" s="37">
        <f t="shared" si="7"/>
        <v>0.03999491176470585</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426</v>
      </c>
      <c r="B32" s="32" t="s">
        <v>439</v>
      </c>
      <c r="D32" s="30">
        <f t="shared" si="1"/>
        <v>0</v>
      </c>
      <c r="E32">
        <f>COUNTIF(Vertices[Degree],"&gt;= "&amp;D32)-COUNTIF(Vertices[Degree],"&gt;="&amp;D33)</f>
        <v>0</v>
      </c>
      <c r="F32" s="35">
        <f t="shared" si="2"/>
        <v>4.411764705882352</v>
      </c>
      <c r="G32" s="36">
        <f>COUNTIF(Vertices[In-Degree],"&gt;= "&amp;F32)-COUNTIF(Vertices[In-Degree],"&gt;="&amp;F33)</f>
        <v>0</v>
      </c>
      <c r="H32" s="35">
        <f t="shared" si="3"/>
        <v>3.647058823529413</v>
      </c>
      <c r="I32" s="36">
        <f>COUNTIF(Vertices[Out-Degree],"&gt;= "&amp;H32)-COUNTIF(Vertices[Out-Degree],"&gt;="&amp;H33)</f>
        <v>0</v>
      </c>
      <c r="J32" s="35">
        <f t="shared" si="4"/>
        <v>573.529411764706</v>
      </c>
      <c r="K32" s="36">
        <f>COUNTIF(Vertices[Betweenness Centrality],"&gt;= "&amp;J32)-COUNTIF(Vertices[Betweenness Centrality],"&gt;="&amp;J33)</f>
        <v>0</v>
      </c>
      <c r="L32" s="35">
        <f t="shared" si="5"/>
        <v>0.34770652941176444</v>
      </c>
      <c r="M32" s="36">
        <f>COUNTIF(Vertices[Closeness Centrality],"&gt;= "&amp;L32)-COUNTIF(Vertices[Closeness Centrality],"&gt;="&amp;L33)</f>
        <v>1</v>
      </c>
      <c r="N32" s="35">
        <f t="shared" si="6"/>
        <v>0.4898370000000002</v>
      </c>
      <c r="O32" s="36">
        <f>COUNTIF(Vertices[Eigenvector Centrality],"&gt;= "&amp;N32)-COUNTIF(Vertices[Eigenvector Centrality],"&gt;="&amp;N33)</f>
        <v>0</v>
      </c>
      <c r="P32" s="35">
        <f t="shared" si="7"/>
        <v>0.04048452941176467</v>
      </c>
      <c r="Q32" s="36">
        <f>COUNTIF(Vertices[PageRank],"&gt;= "&amp;P32)-COUNTIF(Vertices[PageRank],"&gt;="&amp;P33)</f>
        <v>1</v>
      </c>
      <c r="R32" s="35">
        <f t="shared" si="8"/>
        <v>0.44117647058823534</v>
      </c>
      <c r="S32" s="41">
        <f>COUNTIF(Vertices[Clustering Coefficient],"&gt;= "&amp;R32)-COUNTIF(Vertices[Clustering Coefficient],"&gt;="&amp;R33)</f>
        <v>0</v>
      </c>
      <c r="T32" s="35" t="e">
        <f ca="1" t="shared" si="9"/>
        <v>#REF!</v>
      </c>
      <c r="U32" s="36" t="e">
        <f ca="1" t="shared" si="10"/>
        <v>#REF!</v>
      </c>
    </row>
    <row r="33" spans="1:21" ht="375">
      <c r="A33" s="32" t="s">
        <v>427</v>
      </c>
      <c r="B33" s="64" t="s">
        <v>440</v>
      </c>
      <c r="D33" s="30">
        <f t="shared" si="1"/>
        <v>0</v>
      </c>
      <c r="E33">
        <f>COUNTIF(Vertices[Degree],"&gt;= "&amp;D33)-COUNTIF(Vertices[Degree],"&gt;="&amp;D34)</f>
        <v>0</v>
      </c>
      <c r="F33" s="37">
        <f t="shared" si="2"/>
        <v>4.5588235294117645</v>
      </c>
      <c r="G33" s="38">
        <f>COUNTIF(Vertices[In-Degree],"&gt;= "&amp;F33)-COUNTIF(Vertices[In-Degree],"&gt;="&amp;F34)</f>
        <v>0</v>
      </c>
      <c r="H33" s="37">
        <f t="shared" si="3"/>
        <v>3.73529411764706</v>
      </c>
      <c r="I33" s="38">
        <f>COUNTIF(Vertices[Out-Degree],"&gt;= "&amp;H33)-COUNTIF(Vertices[Out-Degree],"&gt;="&amp;H34)</f>
        <v>0</v>
      </c>
      <c r="J33" s="37">
        <f t="shared" si="4"/>
        <v>592.6470588235295</v>
      </c>
      <c r="K33" s="38">
        <f>COUNTIF(Vertices[Betweenness Centrality],"&gt;= "&amp;J33)-COUNTIF(Vertices[Betweenness Centrality],"&gt;="&amp;J34)</f>
        <v>0</v>
      </c>
      <c r="L33" s="37">
        <f t="shared" si="5"/>
        <v>0.35347664705882326</v>
      </c>
      <c r="M33" s="38">
        <f>COUNTIF(Vertices[Closeness Centrality],"&gt;= "&amp;L33)-COUNTIF(Vertices[Closeness Centrality],"&gt;="&amp;L34)</f>
        <v>0</v>
      </c>
      <c r="N33" s="37">
        <f t="shared" si="6"/>
        <v>0.5058545000000002</v>
      </c>
      <c r="O33" s="38">
        <f>COUNTIF(Vertices[Eigenvector Centrality],"&gt;= "&amp;N33)-COUNTIF(Vertices[Eigenvector Centrality],"&gt;="&amp;N34)</f>
        <v>0</v>
      </c>
      <c r="P33" s="37">
        <f t="shared" si="7"/>
        <v>0.04097414705882349</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428</v>
      </c>
      <c r="B34" s="32" t="s">
        <v>582</v>
      </c>
      <c r="D34" s="30">
        <f t="shared" si="1"/>
        <v>0</v>
      </c>
      <c r="E34">
        <f>COUNTIF(Vertices[Degree],"&gt;= "&amp;D34)-COUNTIF(Vertices[Degree],"&gt;="&amp;D35)</f>
        <v>0</v>
      </c>
      <c r="F34" s="35">
        <f t="shared" si="2"/>
        <v>4.705882352941177</v>
      </c>
      <c r="G34" s="36">
        <f>COUNTIF(Vertices[In-Degree],"&gt;= "&amp;F34)-COUNTIF(Vertices[In-Degree],"&gt;="&amp;F35)</f>
        <v>0</v>
      </c>
      <c r="H34" s="35">
        <f t="shared" si="3"/>
        <v>3.8235294117647074</v>
      </c>
      <c r="I34" s="36">
        <f>COUNTIF(Vertices[Out-Degree],"&gt;= "&amp;H34)-COUNTIF(Vertices[Out-Degree],"&gt;="&amp;H35)</f>
        <v>0</v>
      </c>
      <c r="J34" s="35">
        <f t="shared" si="4"/>
        <v>611.764705882353</v>
      </c>
      <c r="K34" s="36">
        <f>COUNTIF(Vertices[Betweenness Centrality],"&gt;= "&amp;J34)-COUNTIF(Vertices[Betweenness Centrality],"&gt;="&amp;J35)</f>
        <v>0</v>
      </c>
      <c r="L34" s="35">
        <f t="shared" si="5"/>
        <v>0.35924676470588207</v>
      </c>
      <c r="M34" s="36">
        <f>COUNTIF(Vertices[Closeness Centrality],"&gt;= "&amp;L34)-COUNTIF(Vertices[Closeness Centrality],"&gt;="&amp;L35)</f>
        <v>0</v>
      </c>
      <c r="N34" s="35">
        <f t="shared" si="6"/>
        <v>0.5218720000000002</v>
      </c>
      <c r="O34" s="36">
        <f>COUNTIF(Vertices[Eigenvector Centrality],"&gt;= "&amp;N34)-COUNTIF(Vertices[Eigenvector Centrality],"&gt;="&amp;N35)</f>
        <v>0</v>
      </c>
      <c r="P34" s="35">
        <f t="shared" si="7"/>
        <v>0.04146376470588231</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429</v>
      </c>
      <c r="B35" s="32" t="s">
        <v>441</v>
      </c>
      <c r="D35" s="30">
        <f t="shared" si="1"/>
        <v>0</v>
      </c>
      <c r="E35">
        <f>COUNTIF(Vertices[Degree],"&gt;= "&amp;D35)-COUNTIF(Vertices[Degree],"&gt;="&amp;D36)</f>
        <v>0</v>
      </c>
      <c r="F35" s="37">
        <f t="shared" si="2"/>
        <v>4.852941176470589</v>
      </c>
      <c r="G35" s="38">
        <f>COUNTIF(Vertices[In-Degree],"&gt;= "&amp;F35)-COUNTIF(Vertices[In-Degree],"&gt;="&amp;F36)</f>
        <v>0</v>
      </c>
      <c r="H35" s="37">
        <f t="shared" si="3"/>
        <v>3.9117647058823546</v>
      </c>
      <c r="I35" s="38">
        <f>COUNTIF(Vertices[Out-Degree],"&gt;= "&amp;H35)-COUNTIF(Vertices[Out-Degree],"&gt;="&amp;H36)</f>
        <v>0</v>
      </c>
      <c r="J35" s="37">
        <f t="shared" si="4"/>
        <v>630.8823529411766</v>
      </c>
      <c r="K35" s="38">
        <f>COUNTIF(Vertices[Betweenness Centrality],"&gt;= "&amp;J35)-COUNTIF(Vertices[Betweenness Centrality],"&gt;="&amp;J36)</f>
        <v>0</v>
      </c>
      <c r="L35" s="37">
        <f t="shared" si="5"/>
        <v>0.3650168823529409</v>
      </c>
      <c r="M35" s="38">
        <f>COUNTIF(Vertices[Closeness Centrality],"&gt;= "&amp;L35)-COUNTIF(Vertices[Closeness Centrality],"&gt;="&amp;L36)</f>
        <v>0</v>
      </c>
      <c r="N35" s="37">
        <f t="shared" si="6"/>
        <v>0.5378895000000002</v>
      </c>
      <c r="O35" s="38">
        <f>COUNTIF(Vertices[Eigenvector Centrality],"&gt;= "&amp;N35)-COUNTIF(Vertices[Eigenvector Centrality],"&gt;="&amp;N36)</f>
        <v>0</v>
      </c>
      <c r="P35" s="37">
        <f t="shared" si="7"/>
        <v>0.04195338235294113</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430</v>
      </c>
      <c r="B36" s="32" t="s">
        <v>214</v>
      </c>
      <c r="D36" s="30">
        <f>MAX(Vertices[Degree])</f>
        <v>0</v>
      </c>
      <c r="E36">
        <f>COUNTIF(Vertices[Degree],"&gt;= "&amp;D36)-COUNTIF(Vertices[Degree],"&gt;="&amp;#REF!)</f>
        <v>0</v>
      </c>
      <c r="F36" s="39">
        <f>MAX(Vertices[In-Degree])</f>
        <v>5</v>
      </c>
      <c r="G36" s="40">
        <f>COUNTIF(Vertices[In-Degree],"&gt;= "&amp;F36)-COUNTIF(Vertices[In-Degree],"&gt;="&amp;#REF!)</f>
        <v>1</v>
      </c>
      <c r="H36" s="39">
        <f>MAX(Vertices[Out-Degree])</f>
        <v>4</v>
      </c>
      <c r="I36" s="40">
        <f>COUNTIF(Vertices[Out-Degree],"&gt;= "&amp;H36)-COUNTIF(Vertices[Out-Degree],"&gt;="&amp;#REF!)</f>
        <v>3</v>
      </c>
      <c r="J36" s="39">
        <f>MAX(Vertices[Betweenness Centrality])</f>
        <v>650</v>
      </c>
      <c r="K36" s="40">
        <f>COUNTIF(Vertices[Betweenness Centrality],"&gt;= "&amp;J36)-COUNTIF(Vertices[Betweenness Centrality],"&gt;="&amp;#REF!)</f>
        <v>1</v>
      </c>
      <c r="L36" s="39">
        <f>MAX(Vertices[Closeness Centrality])</f>
        <v>0.370787</v>
      </c>
      <c r="M36" s="40">
        <f>COUNTIF(Vertices[Closeness Centrality],"&gt;= "&amp;L36)-COUNTIF(Vertices[Closeness Centrality],"&gt;="&amp;#REF!)</f>
        <v>1</v>
      </c>
      <c r="N36" s="39">
        <f>MAX(Vertices[Eigenvector Centrality])</f>
        <v>0.553907</v>
      </c>
      <c r="O36" s="40">
        <f>COUNTIF(Vertices[Eigenvector Centrality],"&gt;= "&amp;N36)-COUNTIF(Vertices[Eigenvector Centrality],"&gt;="&amp;#REF!)</f>
        <v>1</v>
      </c>
      <c r="P36" s="39">
        <f>MAX(Vertices[PageRank])</f>
        <v>0.042443</v>
      </c>
      <c r="Q36" s="40">
        <f>COUNTIF(Vertices[PageRank],"&gt;= "&amp;P36)-COUNTIF(Vertices[PageRank],"&gt;="&amp;#REF!)</f>
        <v>1</v>
      </c>
      <c r="R36" s="39">
        <f>MAX(Vertices[Clustering Coefficient])</f>
        <v>0.5</v>
      </c>
      <c r="S36" s="43">
        <f>COUNTIF(Vertices[Clustering Coefficient],"&gt;= "&amp;R36)-COUNTIF(Vertices[Clustering Coefficient],"&gt;="&amp;#REF!)</f>
        <v>2</v>
      </c>
      <c r="T36" s="39" t="e">
        <f ca="1">MAX(INDIRECT(DynamicFilterSourceColumnRange))</f>
        <v>#REF!</v>
      </c>
      <c r="U36" s="40" t="e">
        <f ca="1">COUNTIF(INDIRECT(DynamicFilterSourceColumnRange),"&gt;= "&amp;T36)-COUNTIF(INDIRECT(DynamicFilterSourceColumnRange),"&gt;="&amp;#REF!)</f>
        <v>#REF!</v>
      </c>
    </row>
    <row r="37" spans="1:2" ht="15">
      <c r="A37" s="32" t="s">
        <v>431</v>
      </c>
      <c r="B37" s="32" t="s">
        <v>214</v>
      </c>
    </row>
    <row r="38" spans="1:2" ht="15">
      <c r="A38" s="32" t="s">
        <v>432</v>
      </c>
      <c r="B38" s="32" t="s">
        <v>214</v>
      </c>
    </row>
    <row r="39" spans="1:2" ht="15">
      <c r="A39" s="32" t="s">
        <v>433</v>
      </c>
      <c r="B39" s="32"/>
    </row>
    <row r="40" spans="1:2" ht="15">
      <c r="A40" s="32" t="s">
        <v>21</v>
      </c>
      <c r="B40" s="32"/>
    </row>
    <row r="41" spans="1:2" ht="15">
      <c r="A41" s="32" t="s">
        <v>434</v>
      </c>
      <c r="B41" s="32" t="s">
        <v>34</v>
      </c>
    </row>
    <row r="42" spans="1:2" ht="15">
      <c r="A42" s="32" t="s">
        <v>435</v>
      </c>
      <c r="B42" s="32"/>
    </row>
    <row r="43" spans="1:2" ht="15">
      <c r="A43" s="32" t="s">
        <v>436</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1.411764705882353</v>
      </c>
    </row>
    <row r="91" spans="1:2" ht="15">
      <c r="A91" s="31" t="s">
        <v>91</v>
      </c>
      <c r="B91" s="45">
        <f>_xlfn.IFERROR(MEDIAN(Vertices[In-Degree]),NoMetricMessage)</f>
        <v>1</v>
      </c>
    </row>
    <row r="102" spans="1:2" ht="15">
      <c r="A102" s="31" t="s">
        <v>94</v>
      </c>
      <c r="B102" s="44">
        <f>IF(COUNT(Vertices[Out-Degree])&gt;0,H2,NoMetricMessage)</f>
        <v>1</v>
      </c>
    </row>
    <row r="103" spans="1:2" ht="15">
      <c r="A103" s="31" t="s">
        <v>95</v>
      </c>
      <c r="B103" s="44">
        <f>IF(COUNT(Vertices[Out-Degree])&gt;0,H36,NoMetricMessage)</f>
        <v>4</v>
      </c>
    </row>
    <row r="104" spans="1:2" ht="15">
      <c r="A104" s="31" t="s">
        <v>96</v>
      </c>
      <c r="B104" s="45">
        <f>_xlfn.IFERROR(AVERAGE(Vertices[Out-Degree]),NoMetricMessage)</f>
        <v>1.411764705882353</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650</v>
      </c>
    </row>
    <row r="118" spans="1:2" ht="15">
      <c r="A118" s="31" t="s">
        <v>102</v>
      </c>
      <c r="B118" s="45">
        <f>_xlfn.IFERROR(AVERAGE(Vertices[Betweenness Centrality]),NoMetricMessage)</f>
        <v>99.70588235294117</v>
      </c>
    </row>
    <row r="119" spans="1:2" ht="15">
      <c r="A119" s="31" t="s">
        <v>103</v>
      </c>
      <c r="B119" s="45">
        <f>_xlfn.IFERROR(MEDIAN(Vertices[Betweenness Centrality]),NoMetricMessage)</f>
        <v>33.5</v>
      </c>
    </row>
    <row r="130" spans="1:2" ht="15">
      <c r="A130" s="31" t="s">
        <v>106</v>
      </c>
      <c r="B130" s="45">
        <f>IF(COUNT(Vertices[Closeness Centrality])&gt;0,L2,NoMetricMessage)</f>
        <v>0.174603</v>
      </c>
    </row>
    <row r="131" spans="1:2" ht="15">
      <c r="A131" s="31" t="s">
        <v>107</v>
      </c>
      <c r="B131" s="45">
        <f>IF(COUNT(Vertices[Closeness Centrality])&gt;0,L36,NoMetricMessage)</f>
        <v>0.370787</v>
      </c>
    </row>
    <row r="132" spans="1:2" ht="15">
      <c r="A132" s="31" t="s">
        <v>108</v>
      </c>
      <c r="B132" s="45">
        <f>_xlfn.IFERROR(AVERAGE(Vertices[Closeness Centrality]),NoMetricMessage)</f>
        <v>0.2571666470588236</v>
      </c>
    </row>
    <row r="133" spans="1:2" ht="15">
      <c r="A133" s="31" t="s">
        <v>109</v>
      </c>
      <c r="B133" s="45">
        <f>_xlfn.IFERROR(MEDIAN(Vertices[Closeness Centrality]),NoMetricMessage)</f>
        <v>0.260874</v>
      </c>
    </row>
    <row r="144" spans="1:2" ht="15">
      <c r="A144" s="31" t="s">
        <v>112</v>
      </c>
      <c r="B144" s="45">
        <f>IF(COUNT(Vertices[Eigenvector Centrality])&gt;0,N2,NoMetricMessage)</f>
        <v>0.009312</v>
      </c>
    </row>
    <row r="145" spans="1:2" ht="15">
      <c r="A145" s="31" t="s">
        <v>113</v>
      </c>
      <c r="B145" s="45">
        <f>IF(COUNT(Vertices[Eigenvector Centrality])&gt;0,N36,NoMetricMessage)</f>
        <v>0.553907</v>
      </c>
    </row>
    <row r="146" spans="1:2" ht="15">
      <c r="A146" s="31" t="s">
        <v>114</v>
      </c>
      <c r="B146" s="45">
        <f>_xlfn.IFERROR(AVERAGE(Vertices[Eigenvector Centrality]),NoMetricMessage)</f>
        <v>0.12781138235294118</v>
      </c>
    </row>
    <row r="147" spans="1:2" ht="15">
      <c r="A147" s="31" t="s">
        <v>115</v>
      </c>
      <c r="B147" s="45">
        <f>_xlfn.IFERROR(MEDIAN(Vertices[Eigenvector Centrality]),NoMetricMessage)</f>
        <v>0.090365</v>
      </c>
    </row>
    <row r="158" spans="1:2" ht="15">
      <c r="A158" s="31" t="s">
        <v>140</v>
      </c>
      <c r="B158" s="45">
        <f>IF(COUNT(Vertices[PageRank])&gt;0,P2,NoMetricMessage)</f>
        <v>0.025796</v>
      </c>
    </row>
    <row r="159" spans="1:2" ht="15">
      <c r="A159" s="31" t="s">
        <v>141</v>
      </c>
      <c r="B159" s="45">
        <f>IF(COUNT(Vertices[PageRank])&gt;0,P36,NoMetricMessage)</f>
        <v>0.042443</v>
      </c>
    </row>
    <row r="160" spans="1:2" ht="15">
      <c r="A160" s="31" t="s">
        <v>142</v>
      </c>
      <c r="B160" s="45">
        <f>_xlfn.IFERROR(AVERAGE(Vertices[PageRank]),NoMetricMessage)</f>
        <v>0.02941170588235294</v>
      </c>
    </row>
    <row r="161" spans="1:2" ht="15">
      <c r="A161" s="31" t="s">
        <v>143</v>
      </c>
      <c r="B161" s="45">
        <f>_xlfn.IFERROR(MEDIAN(Vertices[PageRank]),NoMetricMessage)</f>
        <v>0.028338500000000003</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0.029936974789915964</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196</v>
      </c>
    </row>
    <row r="6" spans="1:18" ht="409.5">
      <c r="A6">
        <v>0</v>
      </c>
      <c r="B6" s="1" t="s">
        <v>136</v>
      </c>
      <c r="C6">
        <v>1</v>
      </c>
      <c r="D6" t="s">
        <v>59</v>
      </c>
      <c r="E6" t="s">
        <v>59</v>
      </c>
      <c r="F6">
        <v>0</v>
      </c>
      <c r="H6" t="s">
        <v>71</v>
      </c>
      <c r="J6" t="s">
        <v>173</v>
      </c>
      <c r="K6" s="7" t="s">
        <v>197</v>
      </c>
      <c r="R6" t="s">
        <v>129</v>
      </c>
    </row>
    <row r="7" spans="1:11" ht="409.5">
      <c r="A7">
        <v>2</v>
      </c>
      <c r="B7">
        <v>1</v>
      </c>
      <c r="C7">
        <v>0</v>
      </c>
      <c r="D7" t="s">
        <v>60</v>
      </c>
      <c r="E7" t="s">
        <v>60</v>
      </c>
      <c r="F7">
        <v>2</v>
      </c>
      <c r="H7" t="s">
        <v>72</v>
      </c>
      <c r="J7" t="s">
        <v>174</v>
      </c>
      <c r="K7" s="7" t="s">
        <v>198</v>
      </c>
    </row>
    <row r="8" spans="1:11" ht="409.5">
      <c r="A8"/>
      <c r="B8">
        <v>2</v>
      </c>
      <c r="C8">
        <v>2</v>
      </c>
      <c r="D8" t="s">
        <v>61</v>
      </c>
      <c r="E8" t="s">
        <v>61</v>
      </c>
      <c r="H8" t="s">
        <v>73</v>
      </c>
      <c r="J8" t="s">
        <v>175</v>
      </c>
      <c r="K8" s="75" t="s">
        <v>199</v>
      </c>
    </row>
    <row r="9" spans="1:11" ht="409.5">
      <c r="A9"/>
      <c r="B9">
        <v>3</v>
      </c>
      <c r="C9">
        <v>4</v>
      </c>
      <c r="D9" t="s">
        <v>62</v>
      </c>
      <c r="E9" t="s">
        <v>62</v>
      </c>
      <c r="H9" t="s">
        <v>74</v>
      </c>
      <c r="J9" t="s">
        <v>176</v>
      </c>
      <c r="K9" s="7" t="s">
        <v>200</v>
      </c>
    </row>
    <row r="10" spans="1:11" ht="15">
      <c r="A10"/>
      <c r="B10">
        <v>4</v>
      </c>
      <c r="D10" t="s">
        <v>63</v>
      </c>
      <c r="E10" t="s">
        <v>63</v>
      </c>
      <c r="H10" t="s">
        <v>75</v>
      </c>
      <c r="J10" t="s">
        <v>177</v>
      </c>
      <c r="K10" t="s">
        <v>201</v>
      </c>
    </row>
    <row r="11" spans="1:11" ht="15">
      <c r="A11"/>
      <c r="B11">
        <v>5</v>
      </c>
      <c r="D11" t="s">
        <v>46</v>
      </c>
      <c r="E11">
        <v>1</v>
      </c>
      <c r="H11" t="s">
        <v>76</v>
      </c>
      <c r="J11" t="s">
        <v>178</v>
      </c>
      <c r="K11" t="s">
        <v>202</v>
      </c>
    </row>
    <row r="12" spans="1:11" ht="15">
      <c r="A12"/>
      <c r="B12"/>
      <c r="D12" t="s">
        <v>64</v>
      </c>
      <c r="E12">
        <v>2</v>
      </c>
      <c r="H12">
        <v>0</v>
      </c>
      <c r="J12" t="s">
        <v>179</v>
      </c>
      <c r="K12"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409.5">
      <c r="D18">
        <v>6</v>
      </c>
      <c r="E18">
        <v>8</v>
      </c>
      <c r="H18">
        <v>6</v>
      </c>
      <c r="J18" t="s">
        <v>185</v>
      </c>
      <c r="K18" s="7" t="s">
        <v>209</v>
      </c>
    </row>
    <row r="19" spans="4:11" ht="409.5">
      <c r="D19">
        <v>7</v>
      </c>
      <c r="E19">
        <v>9</v>
      </c>
      <c r="H19">
        <v>7</v>
      </c>
      <c r="J19" t="s">
        <v>186</v>
      </c>
      <c r="K19" s="7" t="s">
        <v>210</v>
      </c>
    </row>
    <row r="20" spans="4:11" ht="409.5">
      <c r="D20">
        <v>8</v>
      </c>
      <c r="H20">
        <v>8</v>
      </c>
      <c r="J20" t="s">
        <v>187</v>
      </c>
      <c r="K20" s="7" t="s">
        <v>585</v>
      </c>
    </row>
    <row r="21" spans="4:11" ht="409.5">
      <c r="D21">
        <v>9</v>
      </c>
      <c r="H21">
        <v>9</v>
      </c>
      <c r="J21" t="s">
        <v>188</v>
      </c>
      <c r="K21" s="7" t="s">
        <v>189</v>
      </c>
    </row>
    <row r="22" spans="4:11" ht="409.5">
      <c r="D22">
        <v>10</v>
      </c>
      <c r="J22" t="s">
        <v>190</v>
      </c>
      <c r="K22" s="7" t="s">
        <v>191</v>
      </c>
    </row>
    <row r="23" spans="4:11" ht="409.5">
      <c r="D23">
        <v>11</v>
      </c>
      <c r="J23" t="s">
        <v>192</v>
      </c>
      <c r="K23" s="7" t="s">
        <v>193</v>
      </c>
    </row>
    <row r="24" spans="10:11" ht="15">
      <c r="J24" t="s">
        <v>194</v>
      </c>
      <c r="K24">
        <v>16</v>
      </c>
    </row>
    <row r="25" spans="10:11" ht="15">
      <c r="J25" t="s">
        <v>211</v>
      </c>
      <c r="K25" t="s">
        <v>580</v>
      </c>
    </row>
    <row r="26" spans="10:11" ht="409.5">
      <c r="J26" t="s">
        <v>212</v>
      </c>
      <c r="K26" s="7" t="s">
        <v>581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9A34C-D768-4723-989C-EA1CF7CA647F}">
  <dimension ref="A1:G1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323</v>
      </c>
      <c r="B1" s="7" t="s">
        <v>388</v>
      </c>
      <c r="C1" s="7" t="s">
        <v>392</v>
      </c>
      <c r="D1" s="7" t="s">
        <v>144</v>
      </c>
      <c r="E1" s="7" t="s">
        <v>394</v>
      </c>
      <c r="F1" s="7" t="s">
        <v>395</v>
      </c>
      <c r="G1" s="7" t="s">
        <v>396</v>
      </c>
    </row>
    <row r="2" spans="1:7" ht="15">
      <c r="A2" s="80" t="s">
        <v>324</v>
      </c>
      <c r="B2" s="80" t="s">
        <v>389</v>
      </c>
      <c r="C2" s="112"/>
      <c r="D2" s="80"/>
      <c r="E2" s="80"/>
      <c r="F2" s="80"/>
      <c r="G2" s="80"/>
    </row>
    <row r="3" spans="1:7" ht="15">
      <c r="A3" s="81" t="s">
        <v>325</v>
      </c>
      <c r="B3" s="80" t="s">
        <v>390</v>
      </c>
      <c r="C3" s="112"/>
      <c r="D3" s="80"/>
      <c r="E3" s="80"/>
      <c r="F3" s="80"/>
      <c r="G3" s="80"/>
    </row>
    <row r="4" spans="1:7" ht="15">
      <c r="A4" s="81" t="s">
        <v>326</v>
      </c>
      <c r="B4" s="80" t="s">
        <v>391</v>
      </c>
      <c r="C4" s="112"/>
      <c r="D4" s="80"/>
      <c r="E4" s="80"/>
      <c r="F4" s="80"/>
      <c r="G4" s="80"/>
    </row>
    <row r="5" spans="1:7" ht="15">
      <c r="A5" s="81" t="s">
        <v>327</v>
      </c>
      <c r="B5" s="80">
        <v>3</v>
      </c>
      <c r="C5" s="112">
        <v>0.0057361376673040155</v>
      </c>
      <c r="D5" s="80"/>
      <c r="E5" s="80"/>
      <c r="F5" s="80"/>
      <c r="G5" s="80"/>
    </row>
    <row r="6" spans="1:7" ht="15">
      <c r="A6" s="81" t="s">
        <v>328</v>
      </c>
      <c r="B6" s="80">
        <v>1</v>
      </c>
      <c r="C6" s="112">
        <v>0.0019120458891013384</v>
      </c>
      <c r="D6" s="80"/>
      <c r="E6" s="80"/>
      <c r="F6" s="80"/>
      <c r="G6" s="80"/>
    </row>
    <row r="7" spans="1:7" ht="15">
      <c r="A7" s="81" t="s">
        <v>329</v>
      </c>
      <c r="B7" s="80">
        <v>0</v>
      </c>
      <c r="C7" s="112">
        <v>0</v>
      </c>
      <c r="D7" s="80"/>
      <c r="E7" s="80"/>
      <c r="F7" s="80"/>
      <c r="G7" s="80"/>
    </row>
    <row r="8" spans="1:7" ht="15">
      <c r="A8" s="81" t="s">
        <v>330</v>
      </c>
      <c r="B8" s="80">
        <v>291</v>
      </c>
      <c r="C8" s="112">
        <v>0.5564053537284895</v>
      </c>
      <c r="D8" s="80"/>
      <c r="E8" s="80"/>
      <c r="F8" s="80"/>
      <c r="G8" s="80"/>
    </row>
    <row r="9" spans="1:7" ht="15">
      <c r="A9" s="81" t="s">
        <v>331</v>
      </c>
      <c r="B9" s="80">
        <v>523</v>
      </c>
      <c r="C9" s="112">
        <v>1</v>
      </c>
      <c r="D9" s="80"/>
      <c r="E9" s="80"/>
      <c r="F9" s="80"/>
      <c r="G9" s="80"/>
    </row>
    <row r="10" spans="1:7" ht="15">
      <c r="A10" s="111" t="s">
        <v>332</v>
      </c>
      <c r="B10" s="109">
        <v>15</v>
      </c>
      <c r="C10" s="113">
        <v>0.02426040278235572</v>
      </c>
      <c r="D10" s="109" t="s">
        <v>393</v>
      </c>
      <c r="E10" s="109" t="b">
        <v>0</v>
      </c>
      <c r="F10" s="109" t="b">
        <v>0</v>
      </c>
      <c r="G10" s="109" t="b">
        <v>0</v>
      </c>
    </row>
    <row r="11" spans="1:7" ht="15">
      <c r="A11" s="111" t="s">
        <v>333</v>
      </c>
      <c r="B11" s="109">
        <v>12</v>
      </c>
      <c r="C11" s="113">
        <v>0.023350424449941103</v>
      </c>
      <c r="D11" s="109" t="s">
        <v>393</v>
      </c>
      <c r="E11" s="109" t="b">
        <v>0</v>
      </c>
      <c r="F11" s="109" t="b">
        <v>0</v>
      </c>
      <c r="G11" s="109" t="b">
        <v>0</v>
      </c>
    </row>
    <row r="12" spans="1:7" ht="15">
      <c r="A12" s="111" t="s">
        <v>334</v>
      </c>
      <c r="B12" s="109">
        <v>9</v>
      </c>
      <c r="C12" s="113">
        <v>0.03588075027627503</v>
      </c>
      <c r="D12" s="109" t="s">
        <v>393</v>
      </c>
      <c r="E12" s="109" t="b">
        <v>0</v>
      </c>
      <c r="F12" s="109" t="b">
        <v>0</v>
      </c>
      <c r="G12" s="109" t="b">
        <v>0</v>
      </c>
    </row>
    <row r="13" spans="1:7" ht="15">
      <c r="A13" s="111" t="s">
        <v>335</v>
      </c>
      <c r="B13" s="109">
        <v>9</v>
      </c>
      <c r="C13" s="113">
        <v>0.03588075027627503</v>
      </c>
      <c r="D13" s="109" t="s">
        <v>393</v>
      </c>
      <c r="E13" s="109" t="b">
        <v>0</v>
      </c>
      <c r="F13" s="109" t="b">
        <v>0</v>
      </c>
      <c r="G13" s="109" t="b">
        <v>0</v>
      </c>
    </row>
    <row r="14" spans="1:7" ht="15">
      <c r="A14" s="111" t="s">
        <v>336</v>
      </c>
      <c r="B14" s="109">
        <v>9</v>
      </c>
      <c r="C14" s="113">
        <v>0.03588075027627503</v>
      </c>
      <c r="D14" s="109" t="s">
        <v>393</v>
      </c>
      <c r="E14" s="109" t="b">
        <v>0</v>
      </c>
      <c r="F14" s="109" t="b">
        <v>0</v>
      </c>
      <c r="G14" s="109" t="b">
        <v>0</v>
      </c>
    </row>
    <row r="15" spans="1:7" ht="15">
      <c r="A15" s="111" t="s">
        <v>337</v>
      </c>
      <c r="B15" s="109">
        <v>9</v>
      </c>
      <c r="C15" s="113">
        <v>0.03588075027627503</v>
      </c>
      <c r="D15" s="109" t="s">
        <v>393</v>
      </c>
      <c r="E15" s="109" t="b">
        <v>0</v>
      </c>
      <c r="F15" s="109" t="b">
        <v>0</v>
      </c>
      <c r="G15" s="109" t="b">
        <v>0</v>
      </c>
    </row>
    <row r="16" spans="1:7" ht="15">
      <c r="A16" s="111" t="s">
        <v>338</v>
      </c>
      <c r="B16" s="109">
        <v>9</v>
      </c>
      <c r="C16" s="113">
        <v>0.03588075027627503</v>
      </c>
      <c r="D16" s="109" t="s">
        <v>393</v>
      </c>
      <c r="E16" s="109" t="b">
        <v>0</v>
      </c>
      <c r="F16" s="109" t="b">
        <v>0</v>
      </c>
      <c r="G16" s="109" t="b">
        <v>0</v>
      </c>
    </row>
    <row r="17" spans="1:7" ht="15">
      <c r="A17" s="111" t="s">
        <v>339</v>
      </c>
      <c r="B17" s="109">
        <v>9</v>
      </c>
      <c r="C17" s="113">
        <v>0.03588075027627503</v>
      </c>
      <c r="D17" s="109" t="s">
        <v>393</v>
      </c>
      <c r="E17" s="109" t="b">
        <v>0</v>
      </c>
      <c r="F17" s="109" t="b">
        <v>0</v>
      </c>
      <c r="G17" s="109" t="b">
        <v>0</v>
      </c>
    </row>
    <row r="18" spans="1:7" ht="15">
      <c r="A18" s="111" t="s">
        <v>340</v>
      </c>
      <c r="B18" s="109">
        <v>6</v>
      </c>
      <c r="C18" s="113">
        <v>0.01779785620457695</v>
      </c>
      <c r="D18" s="109" t="s">
        <v>393</v>
      </c>
      <c r="E18" s="109" t="b">
        <v>0</v>
      </c>
      <c r="F18" s="109" t="b">
        <v>0</v>
      </c>
      <c r="G18" s="109" t="b">
        <v>0</v>
      </c>
    </row>
    <row r="19" spans="1:7" ht="15">
      <c r="A19" s="111" t="s">
        <v>341</v>
      </c>
      <c r="B19" s="109">
        <v>6</v>
      </c>
      <c r="C19" s="113">
        <v>0.01779785620457695</v>
      </c>
      <c r="D19" s="109" t="s">
        <v>393</v>
      </c>
      <c r="E19" s="109" t="b">
        <v>0</v>
      </c>
      <c r="F19" s="109" t="b">
        <v>0</v>
      </c>
      <c r="G19" s="109" t="b">
        <v>0</v>
      </c>
    </row>
    <row r="20" spans="1:7" ht="15">
      <c r="A20" s="111" t="s">
        <v>342</v>
      </c>
      <c r="B20" s="109">
        <v>5</v>
      </c>
      <c r="C20" s="113">
        <v>0.0178161444482607</v>
      </c>
      <c r="D20" s="109" t="s">
        <v>393</v>
      </c>
      <c r="E20" s="109" t="b">
        <v>0</v>
      </c>
      <c r="F20" s="109" t="b">
        <v>0</v>
      </c>
      <c r="G20" s="109" t="b">
        <v>0</v>
      </c>
    </row>
    <row r="21" spans="1:7" ht="15">
      <c r="A21" s="111" t="s">
        <v>343</v>
      </c>
      <c r="B21" s="109">
        <v>5</v>
      </c>
      <c r="C21" s="113">
        <v>0.022918347764599365</v>
      </c>
      <c r="D21" s="109" t="s">
        <v>393</v>
      </c>
      <c r="E21" s="109" t="b">
        <v>0</v>
      </c>
      <c r="F21" s="109" t="b">
        <v>0</v>
      </c>
      <c r="G21" s="109" t="b">
        <v>0</v>
      </c>
    </row>
    <row r="22" spans="1:7" ht="15">
      <c r="A22" s="111" t="s">
        <v>344</v>
      </c>
      <c r="B22" s="109">
        <v>4</v>
      </c>
      <c r="C22" s="113">
        <v>0.014252915558608558</v>
      </c>
      <c r="D22" s="109" t="s">
        <v>393</v>
      </c>
      <c r="E22" s="109" t="b">
        <v>0</v>
      </c>
      <c r="F22" s="109" t="b">
        <v>0</v>
      </c>
      <c r="G22" s="109" t="b">
        <v>0</v>
      </c>
    </row>
    <row r="23" spans="1:7" ht="15">
      <c r="A23" s="111" t="s">
        <v>345</v>
      </c>
      <c r="B23" s="109">
        <v>4</v>
      </c>
      <c r="C23" s="113">
        <v>0.014252915558608558</v>
      </c>
      <c r="D23" s="109" t="s">
        <v>393</v>
      </c>
      <c r="E23" s="109" t="b">
        <v>0</v>
      </c>
      <c r="F23" s="109" t="b">
        <v>0</v>
      </c>
      <c r="G23" s="109" t="b">
        <v>0</v>
      </c>
    </row>
    <row r="24" spans="1:7" ht="15">
      <c r="A24" s="111" t="s">
        <v>346</v>
      </c>
      <c r="B24" s="109">
        <v>3</v>
      </c>
      <c r="C24" s="113">
        <v>0.016812330648562815</v>
      </c>
      <c r="D24" s="109" t="s">
        <v>393</v>
      </c>
      <c r="E24" s="109" t="b">
        <v>0</v>
      </c>
      <c r="F24" s="109" t="b">
        <v>0</v>
      </c>
      <c r="G24" s="109" t="b">
        <v>0</v>
      </c>
    </row>
    <row r="25" spans="1:7" ht="15">
      <c r="A25" s="111" t="s">
        <v>347</v>
      </c>
      <c r="B25" s="109">
        <v>3</v>
      </c>
      <c r="C25" s="113">
        <v>0.016812330648562815</v>
      </c>
      <c r="D25" s="109" t="s">
        <v>393</v>
      </c>
      <c r="E25" s="109" t="b">
        <v>0</v>
      </c>
      <c r="F25" s="109" t="b">
        <v>0</v>
      </c>
      <c r="G25" s="109" t="b">
        <v>0</v>
      </c>
    </row>
    <row r="26" spans="1:7" ht="15">
      <c r="A26" s="111" t="s">
        <v>348</v>
      </c>
      <c r="B26" s="109">
        <v>3</v>
      </c>
      <c r="C26" s="113">
        <v>0.011960250092091673</v>
      </c>
      <c r="D26" s="109" t="s">
        <v>393</v>
      </c>
      <c r="E26" s="109" t="b">
        <v>1</v>
      </c>
      <c r="F26" s="109" t="b">
        <v>0</v>
      </c>
      <c r="G26" s="109" t="b">
        <v>0</v>
      </c>
    </row>
    <row r="27" spans="1:7" ht="15">
      <c r="A27" s="111" t="s">
        <v>349</v>
      </c>
      <c r="B27" s="109">
        <v>3</v>
      </c>
      <c r="C27" s="113">
        <v>0.016812330648562815</v>
      </c>
      <c r="D27" s="109" t="s">
        <v>393</v>
      </c>
      <c r="E27" s="109" t="b">
        <v>0</v>
      </c>
      <c r="F27" s="109" t="b">
        <v>0</v>
      </c>
      <c r="G27" s="109" t="b">
        <v>0</v>
      </c>
    </row>
    <row r="28" spans="1:7" ht="15">
      <c r="A28" s="111" t="s">
        <v>350</v>
      </c>
      <c r="B28" s="109">
        <v>3</v>
      </c>
      <c r="C28" s="113">
        <v>0.016812330648562815</v>
      </c>
      <c r="D28" s="109" t="s">
        <v>393</v>
      </c>
      <c r="E28" s="109" t="b">
        <v>0</v>
      </c>
      <c r="F28" s="109" t="b">
        <v>0</v>
      </c>
      <c r="G28" s="109" t="b">
        <v>0</v>
      </c>
    </row>
    <row r="29" spans="1:7" ht="15">
      <c r="A29" s="111" t="s">
        <v>351</v>
      </c>
      <c r="B29" s="109">
        <v>3</v>
      </c>
      <c r="C29" s="113">
        <v>0.011960250092091673</v>
      </c>
      <c r="D29" s="109" t="s">
        <v>393</v>
      </c>
      <c r="E29" s="109" t="b">
        <v>0</v>
      </c>
      <c r="F29" s="109" t="b">
        <v>0</v>
      </c>
      <c r="G29" s="109" t="b">
        <v>0</v>
      </c>
    </row>
    <row r="30" spans="1:7" ht="15">
      <c r="A30" s="111" t="s">
        <v>352</v>
      </c>
      <c r="B30" s="109">
        <v>3</v>
      </c>
      <c r="C30" s="113">
        <v>0.016812330648562815</v>
      </c>
      <c r="D30" s="109" t="s">
        <v>393</v>
      </c>
      <c r="E30" s="109" t="b">
        <v>0</v>
      </c>
      <c r="F30" s="109" t="b">
        <v>0</v>
      </c>
      <c r="G30" s="109" t="b">
        <v>0</v>
      </c>
    </row>
    <row r="31" spans="1:7" ht="15">
      <c r="A31" s="111" t="s">
        <v>353</v>
      </c>
      <c r="B31" s="109">
        <v>3</v>
      </c>
      <c r="C31" s="113">
        <v>0.016812330648562815</v>
      </c>
      <c r="D31" s="109" t="s">
        <v>393</v>
      </c>
      <c r="E31" s="109" t="b">
        <v>0</v>
      </c>
      <c r="F31" s="109" t="b">
        <v>0</v>
      </c>
      <c r="G31" s="109" t="b">
        <v>0</v>
      </c>
    </row>
    <row r="32" spans="1:7" ht="15">
      <c r="A32" s="111" t="s">
        <v>354</v>
      </c>
      <c r="B32" s="109">
        <v>3</v>
      </c>
      <c r="C32" s="113">
        <v>0.016812330648562815</v>
      </c>
      <c r="D32" s="109" t="s">
        <v>393</v>
      </c>
      <c r="E32" s="109" t="b">
        <v>0</v>
      </c>
      <c r="F32" s="109" t="b">
        <v>0</v>
      </c>
      <c r="G32" s="109" t="b">
        <v>0</v>
      </c>
    </row>
    <row r="33" spans="1:7" ht="15">
      <c r="A33" s="111" t="s">
        <v>355</v>
      </c>
      <c r="B33" s="109">
        <v>3</v>
      </c>
      <c r="C33" s="113">
        <v>0.016812330648562815</v>
      </c>
      <c r="D33" s="109" t="s">
        <v>393</v>
      </c>
      <c r="E33" s="109" t="b">
        <v>0</v>
      </c>
      <c r="F33" s="109" t="b">
        <v>0</v>
      </c>
      <c r="G33" s="109" t="b">
        <v>0</v>
      </c>
    </row>
    <row r="34" spans="1:7" ht="15">
      <c r="A34" s="111" t="s">
        <v>356</v>
      </c>
      <c r="B34" s="109">
        <v>3</v>
      </c>
      <c r="C34" s="113">
        <v>0.011960250092091673</v>
      </c>
      <c r="D34" s="109" t="s">
        <v>393</v>
      </c>
      <c r="E34" s="109" t="b">
        <v>0</v>
      </c>
      <c r="F34" s="109" t="b">
        <v>0</v>
      </c>
      <c r="G34" s="109" t="b">
        <v>0</v>
      </c>
    </row>
    <row r="35" spans="1:7" ht="15">
      <c r="A35" s="111" t="s">
        <v>357</v>
      </c>
      <c r="B35" s="109">
        <v>3</v>
      </c>
      <c r="C35" s="113">
        <v>0.016812330648562815</v>
      </c>
      <c r="D35" s="109" t="s">
        <v>393</v>
      </c>
      <c r="E35" s="109" t="b">
        <v>0</v>
      </c>
      <c r="F35" s="109" t="b">
        <v>0</v>
      </c>
      <c r="G35" s="109" t="b">
        <v>0</v>
      </c>
    </row>
    <row r="36" spans="1:7" ht="15">
      <c r="A36" s="111" t="s">
        <v>358</v>
      </c>
      <c r="B36" s="109">
        <v>3</v>
      </c>
      <c r="C36" s="113">
        <v>0.016812330648562815</v>
      </c>
      <c r="D36" s="109" t="s">
        <v>393</v>
      </c>
      <c r="E36" s="109" t="b">
        <v>0</v>
      </c>
      <c r="F36" s="109" t="b">
        <v>0</v>
      </c>
      <c r="G36" s="109" t="b">
        <v>0</v>
      </c>
    </row>
    <row r="37" spans="1:7" ht="15">
      <c r="A37" s="111" t="s">
        <v>359</v>
      </c>
      <c r="B37" s="109">
        <v>3</v>
      </c>
      <c r="C37" s="113">
        <v>0.016812330648562815</v>
      </c>
      <c r="D37" s="109" t="s">
        <v>393</v>
      </c>
      <c r="E37" s="109" t="b">
        <v>0</v>
      </c>
      <c r="F37" s="109" t="b">
        <v>0</v>
      </c>
      <c r="G37" s="109" t="b">
        <v>0</v>
      </c>
    </row>
    <row r="38" spans="1:7" ht="15">
      <c r="A38" s="111" t="s">
        <v>360</v>
      </c>
      <c r="B38" s="109">
        <v>3</v>
      </c>
      <c r="C38" s="113">
        <v>0.016812330648562815</v>
      </c>
      <c r="D38" s="109" t="s">
        <v>393</v>
      </c>
      <c r="E38" s="109" t="b">
        <v>0</v>
      </c>
      <c r="F38" s="109" t="b">
        <v>0</v>
      </c>
      <c r="G38" s="109" t="b">
        <v>0</v>
      </c>
    </row>
    <row r="39" spans="1:7" ht="15">
      <c r="A39" s="111" t="s">
        <v>361</v>
      </c>
      <c r="B39" s="109">
        <v>3</v>
      </c>
      <c r="C39" s="113">
        <v>0.016812330648562815</v>
      </c>
      <c r="D39" s="109" t="s">
        <v>393</v>
      </c>
      <c r="E39" s="109" t="b">
        <v>0</v>
      </c>
      <c r="F39" s="109" t="b">
        <v>0</v>
      </c>
      <c r="G39" s="109" t="b">
        <v>0</v>
      </c>
    </row>
    <row r="40" spans="1:7" ht="15">
      <c r="A40" s="111" t="s">
        <v>362</v>
      </c>
      <c r="B40" s="109">
        <v>3</v>
      </c>
      <c r="C40" s="113">
        <v>0.016812330648562815</v>
      </c>
      <c r="D40" s="109" t="s">
        <v>393</v>
      </c>
      <c r="E40" s="109" t="b">
        <v>0</v>
      </c>
      <c r="F40" s="109" t="b">
        <v>0</v>
      </c>
      <c r="G40" s="109" t="b">
        <v>0</v>
      </c>
    </row>
    <row r="41" spans="1:7" ht="15">
      <c r="A41" s="111" t="s">
        <v>363</v>
      </c>
      <c r="B41" s="109">
        <v>3</v>
      </c>
      <c r="C41" s="113">
        <v>0.016812330648562815</v>
      </c>
      <c r="D41" s="109" t="s">
        <v>393</v>
      </c>
      <c r="E41" s="109" t="b">
        <v>0</v>
      </c>
      <c r="F41" s="109" t="b">
        <v>0</v>
      </c>
      <c r="G41" s="109" t="b">
        <v>0</v>
      </c>
    </row>
    <row r="42" spans="1:7" ht="15">
      <c r="A42" s="111" t="s">
        <v>364</v>
      </c>
      <c r="B42" s="109">
        <v>3</v>
      </c>
      <c r="C42" s="113">
        <v>0.016812330648562815</v>
      </c>
      <c r="D42" s="109" t="s">
        <v>393</v>
      </c>
      <c r="E42" s="109" t="b">
        <v>0</v>
      </c>
      <c r="F42" s="109" t="b">
        <v>0</v>
      </c>
      <c r="G42" s="109" t="b">
        <v>0</v>
      </c>
    </row>
    <row r="43" spans="1:7" ht="15">
      <c r="A43" s="111" t="s">
        <v>365</v>
      </c>
      <c r="B43" s="109">
        <v>3</v>
      </c>
      <c r="C43" s="113">
        <v>0.016812330648562815</v>
      </c>
      <c r="D43" s="109" t="s">
        <v>393</v>
      </c>
      <c r="E43" s="109" t="b">
        <v>0</v>
      </c>
      <c r="F43" s="109" t="b">
        <v>0</v>
      </c>
      <c r="G43" s="109" t="b">
        <v>0</v>
      </c>
    </row>
    <row r="44" spans="1:7" ht="15">
      <c r="A44" s="111" t="s">
        <v>366</v>
      </c>
      <c r="B44" s="109">
        <v>3</v>
      </c>
      <c r="C44" s="113">
        <v>0.016812330648562815</v>
      </c>
      <c r="D44" s="109" t="s">
        <v>393</v>
      </c>
      <c r="E44" s="109" t="b">
        <v>0</v>
      </c>
      <c r="F44" s="109" t="b">
        <v>0</v>
      </c>
      <c r="G44" s="109" t="b">
        <v>0</v>
      </c>
    </row>
    <row r="45" spans="1:7" ht="15">
      <c r="A45" s="111" t="s">
        <v>367</v>
      </c>
      <c r="B45" s="109">
        <v>3</v>
      </c>
      <c r="C45" s="113">
        <v>0.016812330648562815</v>
      </c>
      <c r="D45" s="109" t="s">
        <v>393</v>
      </c>
      <c r="E45" s="109" t="b">
        <v>0</v>
      </c>
      <c r="F45" s="109" t="b">
        <v>0</v>
      </c>
      <c r="G45" s="109" t="b">
        <v>0</v>
      </c>
    </row>
    <row r="46" spans="1:7" ht="15">
      <c r="A46" s="111" t="s">
        <v>368</v>
      </c>
      <c r="B46" s="109">
        <v>3</v>
      </c>
      <c r="C46" s="113">
        <v>0.016812330648562815</v>
      </c>
      <c r="D46" s="109" t="s">
        <v>393</v>
      </c>
      <c r="E46" s="109" t="b">
        <v>0</v>
      </c>
      <c r="F46" s="109" t="b">
        <v>0</v>
      </c>
      <c r="G46" s="109" t="b">
        <v>0</v>
      </c>
    </row>
    <row r="47" spans="1:7" ht="15">
      <c r="A47" s="111" t="s">
        <v>369</v>
      </c>
      <c r="B47" s="109">
        <v>3</v>
      </c>
      <c r="C47" s="113">
        <v>0.016812330648562815</v>
      </c>
      <c r="D47" s="109" t="s">
        <v>393</v>
      </c>
      <c r="E47" s="109" t="b">
        <v>0</v>
      </c>
      <c r="F47" s="109" t="b">
        <v>0</v>
      </c>
      <c r="G47" s="109" t="b">
        <v>0</v>
      </c>
    </row>
    <row r="48" spans="1:7" ht="15">
      <c r="A48" s="111" t="s">
        <v>370</v>
      </c>
      <c r="B48" s="109">
        <v>3</v>
      </c>
      <c r="C48" s="113">
        <v>0.016812330648562815</v>
      </c>
      <c r="D48" s="109" t="s">
        <v>393</v>
      </c>
      <c r="E48" s="109" t="b">
        <v>0</v>
      </c>
      <c r="F48" s="109" t="b">
        <v>0</v>
      </c>
      <c r="G48" s="109" t="b">
        <v>0</v>
      </c>
    </row>
    <row r="49" spans="1:7" ht="15">
      <c r="A49" s="111" t="s">
        <v>371</v>
      </c>
      <c r="B49" s="109">
        <v>3</v>
      </c>
      <c r="C49" s="113">
        <v>0.016812330648562815</v>
      </c>
      <c r="D49" s="109" t="s">
        <v>393</v>
      </c>
      <c r="E49" s="109" t="b">
        <v>0</v>
      </c>
      <c r="F49" s="109" t="b">
        <v>0</v>
      </c>
      <c r="G49" s="109" t="b">
        <v>0</v>
      </c>
    </row>
    <row r="50" spans="1:7" ht="15">
      <c r="A50" s="111" t="s">
        <v>372</v>
      </c>
      <c r="B50" s="109">
        <v>3</v>
      </c>
      <c r="C50" s="113">
        <v>0.016812330648562815</v>
      </c>
      <c r="D50" s="109" t="s">
        <v>393</v>
      </c>
      <c r="E50" s="109" t="b">
        <v>0</v>
      </c>
      <c r="F50" s="109" t="b">
        <v>0</v>
      </c>
      <c r="G50" s="109" t="b">
        <v>0</v>
      </c>
    </row>
    <row r="51" spans="1:7" ht="15">
      <c r="A51" s="111" t="s">
        <v>373</v>
      </c>
      <c r="B51" s="109">
        <v>3</v>
      </c>
      <c r="C51" s="113">
        <v>0.016812330648562815</v>
      </c>
      <c r="D51" s="109" t="s">
        <v>393</v>
      </c>
      <c r="E51" s="109" t="b">
        <v>0</v>
      </c>
      <c r="F51" s="109" t="b">
        <v>0</v>
      </c>
      <c r="G51" s="109" t="b">
        <v>0</v>
      </c>
    </row>
    <row r="52" spans="1:7" ht="15">
      <c r="A52" s="111" t="s">
        <v>374</v>
      </c>
      <c r="B52" s="109">
        <v>3</v>
      </c>
      <c r="C52" s="113">
        <v>0.016812330648562815</v>
      </c>
      <c r="D52" s="109" t="s">
        <v>393</v>
      </c>
      <c r="E52" s="109" t="b">
        <v>0</v>
      </c>
      <c r="F52" s="109" t="b">
        <v>0</v>
      </c>
      <c r="G52" s="109" t="b">
        <v>0</v>
      </c>
    </row>
    <row r="53" spans="1:7" ht="15">
      <c r="A53" s="111" t="s">
        <v>375</v>
      </c>
      <c r="B53" s="109">
        <v>3</v>
      </c>
      <c r="C53" s="113">
        <v>0.016812330648562815</v>
      </c>
      <c r="D53" s="109" t="s">
        <v>393</v>
      </c>
      <c r="E53" s="109" t="b">
        <v>0</v>
      </c>
      <c r="F53" s="109" t="b">
        <v>0</v>
      </c>
      <c r="G53" s="109" t="b">
        <v>0</v>
      </c>
    </row>
    <row r="54" spans="1:7" ht="15">
      <c r="A54" s="111" t="s">
        <v>376</v>
      </c>
      <c r="B54" s="109">
        <v>3</v>
      </c>
      <c r="C54" s="113">
        <v>0.016812330648562815</v>
      </c>
      <c r="D54" s="109" t="s">
        <v>393</v>
      </c>
      <c r="E54" s="109" t="b">
        <v>0</v>
      </c>
      <c r="F54" s="109" t="b">
        <v>0</v>
      </c>
      <c r="G54" s="109" t="b">
        <v>0</v>
      </c>
    </row>
    <row r="55" spans="1:7" ht="15">
      <c r="A55" s="111" t="s">
        <v>377</v>
      </c>
      <c r="B55" s="109">
        <v>3</v>
      </c>
      <c r="C55" s="113">
        <v>0.016812330648562815</v>
      </c>
      <c r="D55" s="109" t="s">
        <v>393</v>
      </c>
      <c r="E55" s="109" t="b">
        <v>0</v>
      </c>
      <c r="F55" s="109" t="b">
        <v>0</v>
      </c>
      <c r="G55" s="109" t="b">
        <v>0</v>
      </c>
    </row>
    <row r="56" spans="1:7" ht="15">
      <c r="A56" s="111" t="s">
        <v>378</v>
      </c>
      <c r="B56" s="109">
        <v>2</v>
      </c>
      <c r="C56" s="113">
        <v>0.009167339105839745</v>
      </c>
      <c r="D56" s="109" t="s">
        <v>393</v>
      </c>
      <c r="E56" s="109" t="b">
        <v>0</v>
      </c>
      <c r="F56" s="109" t="b">
        <v>0</v>
      </c>
      <c r="G56" s="109" t="b">
        <v>0</v>
      </c>
    </row>
    <row r="57" spans="1:7" ht="15">
      <c r="A57" s="111" t="s">
        <v>379</v>
      </c>
      <c r="B57" s="109">
        <v>2</v>
      </c>
      <c r="C57" s="113">
        <v>0.009167339105839745</v>
      </c>
      <c r="D57" s="109" t="s">
        <v>393</v>
      </c>
      <c r="E57" s="109" t="b">
        <v>0</v>
      </c>
      <c r="F57" s="109" t="b">
        <v>0</v>
      </c>
      <c r="G57" s="109" t="b">
        <v>0</v>
      </c>
    </row>
    <row r="58" spans="1:7" ht="15">
      <c r="A58" s="111" t="s">
        <v>380</v>
      </c>
      <c r="B58" s="109">
        <v>2</v>
      </c>
      <c r="C58" s="113">
        <v>0.009167339105839745</v>
      </c>
      <c r="D58" s="109" t="s">
        <v>393</v>
      </c>
      <c r="E58" s="109" t="b">
        <v>0</v>
      </c>
      <c r="F58" s="109" t="b">
        <v>0</v>
      </c>
      <c r="G58" s="109" t="b">
        <v>0</v>
      </c>
    </row>
    <row r="59" spans="1:7" ht="15">
      <c r="A59" s="111" t="s">
        <v>381</v>
      </c>
      <c r="B59" s="109">
        <v>2</v>
      </c>
      <c r="C59" s="113">
        <v>0.009167339105839745</v>
      </c>
      <c r="D59" s="109" t="s">
        <v>393</v>
      </c>
      <c r="E59" s="109" t="b">
        <v>0</v>
      </c>
      <c r="F59" s="109" t="b">
        <v>0</v>
      </c>
      <c r="G59" s="109" t="b">
        <v>0</v>
      </c>
    </row>
    <row r="60" spans="1:7" ht="15">
      <c r="A60" s="111" t="s">
        <v>382</v>
      </c>
      <c r="B60" s="109">
        <v>2</v>
      </c>
      <c r="C60" s="113">
        <v>0.011208220432375212</v>
      </c>
      <c r="D60" s="109" t="s">
        <v>393</v>
      </c>
      <c r="E60" s="109" t="b">
        <v>0</v>
      </c>
      <c r="F60" s="109" t="b">
        <v>0</v>
      </c>
      <c r="G60" s="109" t="b">
        <v>0</v>
      </c>
    </row>
    <row r="61" spans="1:7" ht="15">
      <c r="A61" s="111" t="s">
        <v>383</v>
      </c>
      <c r="B61" s="109">
        <v>2</v>
      </c>
      <c r="C61" s="113">
        <v>0.011208220432375212</v>
      </c>
      <c r="D61" s="109" t="s">
        <v>393</v>
      </c>
      <c r="E61" s="109" t="b">
        <v>0</v>
      </c>
      <c r="F61" s="109" t="b">
        <v>0</v>
      </c>
      <c r="G61" s="109" t="b">
        <v>0</v>
      </c>
    </row>
    <row r="62" spans="1:7" ht="15">
      <c r="A62" s="111" t="s">
        <v>384</v>
      </c>
      <c r="B62" s="109">
        <v>2</v>
      </c>
      <c r="C62" s="113">
        <v>0.009167339105839745</v>
      </c>
      <c r="D62" s="109" t="s">
        <v>393</v>
      </c>
      <c r="E62" s="109" t="b">
        <v>0</v>
      </c>
      <c r="F62" s="109" t="b">
        <v>0</v>
      </c>
      <c r="G62" s="109" t="b">
        <v>0</v>
      </c>
    </row>
    <row r="63" spans="1:7" ht="15">
      <c r="A63" s="111" t="s">
        <v>385</v>
      </c>
      <c r="B63" s="109">
        <v>2</v>
      </c>
      <c r="C63" s="113">
        <v>0.009167339105839745</v>
      </c>
      <c r="D63" s="109" t="s">
        <v>393</v>
      </c>
      <c r="E63" s="109" t="b">
        <v>0</v>
      </c>
      <c r="F63" s="109" t="b">
        <v>0</v>
      </c>
      <c r="G63" s="109" t="b">
        <v>0</v>
      </c>
    </row>
    <row r="64" spans="1:7" ht="15">
      <c r="A64" s="111" t="s">
        <v>386</v>
      </c>
      <c r="B64" s="109">
        <v>2</v>
      </c>
      <c r="C64" s="113">
        <v>0.009167339105839745</v>
      </c>
      <c r="D64" s="109" t="s">
        <v>393</v>
      </c>
      <c r="E64" s="109" t="b">
        <v>0</v>
      </c>
      <c r="F64" s="109" t="b">
        <v>0</v>
      </c>
      <c r="G64" s="109" t="b">
        <v>0</v>
      </c>
    </row>
    <row r="65" spans="1:7" ht="15">
      <c r="A65" s="111" t="s">
        <v>387</v>
      </c>
      <c r="B65" s="109">
        <v>2</v>
      </c>
      <c r="C65" s="113">
        <v>0.009167339105839745</v>
      </c>
      <c r="D65" s="109" t="s">
        <v>393</v>
      </c>
      <c r="E65" s="109" t="b">
        <v>0</v>
      </c>
      <c r="F65" s="109" t="b">
        <v>0</v>
      </c>
      <c r="G65" s="109" t="b">
        <v>0</v>
      </c>
    </row>
    <row r="66" spans="1:7" ht="15">
      <c r="A66" s="111" t="s">
        <v>332</v>
      </c>
      <c r="B66" s="109">
        <v>4</v>
      </c>
      <c r="C66" s="113">
        <v>0.03130511272101</v>
      </c>
      <c r="D66" s="109" t="s">
        <v>310</v>
      </c>
      <c r="E66" s="109" t="b">
        <v>0</v>
      </c>
      <c r="F66" s="109" t="b">
        <v>0</v>
      </c>
      <c r="G66" s="109" t="b">
        <v>0</v>
      </c>
    </row>
    <row r="67" spans="1:7" ht="15">
      <c r="A67" s="111" t="s">
        <v>365</v>
      </c>
      <c r="B67" s="109">
        <v>3</v>
      </c>
      <c r="C67" s="113">
        <v>0.06361616729595498</v>
      </c>
      <c r="D67" s="109" t="s">
        <v>310</v>
      </c>
      <c r="E67" s="109" t="b">
        <v>0</v>
      </c>
      <c r="F67" s="109" t="b">
        <v>0</v>
      </c>
      <c r="G67" s="109" t="b">
        <v>0</v>
      </c>
    </row>
    <row r="68" spans="1:7" ht="15">
      <c r="A68" s="111" t="s">
        <v>352</v>
      </c>
      <c r="B68" s="109">
        <v>3</v>
      </c>
      <c r="C68" s="113">
        <v>0.06361616729595498</v>
      </c>
      <c r="D68" s="109" t="s">
        <v>310</v>
      </c>
      <c r="E68" s="109" t="b">
        <v>0</v>
      </c>
      <c r="F68" s="109" t="b">
        <v>0</v>
      </c>
      <c r="G68" s="109" t="b">
        <v>0</v>
      </c>
    </row>
    <row r="69" spans="1:7" ht="15">
      <c r="A69" s="111" t="s">
        <v>335</v>
      </c>
      <c r="B69" s="109">
        <v>3</v>
      </c>
      <c r="C69" s="113">
        <v>0.06361616729595498</v>
      </c>
      <c r="D69" s="109" t="s">
        <v>310</v>
      </c>
      <c r="E69" s="109" t="b">
        <v>0</v>
      </c>
      <c r="F69" s="109" t="b">
        <v>0</v>
      </c>
      <c r="G69" s="109" t="b">
        <v>0</v>
      </c>
    </row>
    <row r="70" spans="1:7" ht="15">
      <c r="A70" s="111" t="s">
        <v>373</v>
      </c>
      <c r="B70" s="109">
        <v>3</v>
      </c>
      <c r="C70" s="113">
        <v>0.06361616729595498</v>
      </c>
      <c r="D70" s="109" t="s">
        <v>310</v>
      </c>
      <c r="E70" s="109" t="b">
        <v>0</v>
      </c>
      <c r="F70" s="109" t="b">
        <v>0</v>
      </c>
      <c r="G70" s="109" t="b">
        <v>0</v>
      </c>
    </row>
    <row r="71" spans="1:7" ht="15">
      <c r="A71" s="111" t="s">
        <v>350</v>
      </c>
      <c r="B71" s="109">
        <v>3</v>
      </c>
      <c r="C71" s="113">
        <v>0.06361616729595498</v>
      </c>
      <c r="D71" s="109" t="s">
        <v>310</v>
      </c>
      <c r="E71" s="109" t="b">
        <v>0</v>
      </c>
      <c r="F71" s="109" t="b">
        <v>0</v>
      </c>
      <c r="G71" s="109" t="b">
        <v>0</v>
      </c>
    </row>
    <row r="72" spans="1:7" ht="15">
      <c r="A72" s="111" t="s">
        <v>371</v>
      </c>
      <c r="B72" s="109">
        <v>3</v>
      </c>
      <c r="C72" s="113">
        <v>0.06361616729595498</v>
      </c>
      <c r="D72" s="109" t="s">
        <v>310</v>
      </c>
      <c r="E72" s="109" t="b">
        <v>0</v>
      </c>
      <c r="F72" s="109" t="b">
        <v>0</v>
      </c>
      <c r="G72" s="109" t="b">
        <v>0</v>
      </c>
    </row>
    <row r="73" spans="1:7" ht="15">
      <c r="A73" s="111" t="s">
        <v>334</v>
      </c>
      <c r="B73" s="109">
        <v>3</v>
      </c>
      <c r="C73" s="113">
        <v>0.06361616729595498</v>
      </c>
      <c r="D73" s="109" t="s">
        <v>310</v>
      </c>
      <c r="E73" s="109" t="b">
        <v>0</v>
      </c>
      <c r="F73" s="109" t="b">
        <v>0</v>
      </c>
      <c r="G73" s="109" t="b">
        <v>0</v>
      </c>
    </row>
    <row r="74" spans="1:7" ht="15">
      <c r="A74" s="111" t="s">
        <v>333</v>
      </c>
      <c r="B74" s="109">
        <v>3</v>
      </c>
      <c r="C74" s="113">
        <v>0.03180808364797749</v>
      </c>
      <c r="D74" s="109" t="s">
        <v>310</v>
      </c>
      <c r="E74" s="109" t="b">
        <v>0</v>
      </c>
      <c r="F74" s="109" t="b">
        <v>0</v>
      </c>
      <c r="G74" s="109" t="b">
        <v>0</v>
      </c>
    </row>
    <row r="75" spans="1:7" ht="15">
      <c r="A75" s="111" t="s">
        <v>381</v>
      </c>
      <c r="B75" s="109">
        <v>2</v>
      </c>
      <c r="C75" s="113">
        <v>0.029031667278904168</v>
      </c>
      <c r="D75" s="109" t="s">
        <v>310</v>
      </c>
      <c r="E75" s="109" t="b">
        <v>0</v>
      </c>
      <c r="F75" s="109" t="b">
        <v>0</v>
      </c>
      <c r="G75" s="109" t="b">
        <v>0</v>
      </c>
    </row>
    <row r="76" spans="1:7" ht="15">
      <c r="A76" s="111" t="s">
        <v>378</v>
      </c>
      <c r="B76" s="109">
        <v>2</v>
      </c>
      <c r="C76" s="113">
        <v>0.029031667278904168</v>
      </c>
      <c r="D76" s="109" t="s">
        <v>310</v>
      </c>
      <c r="E76" s="109" t="b">
        <v>0</v>
      </c>
      <c r="F76" s="109" t="b">
        <v>0</v>
      </c>
      <c r="G76" s="109" t="b">
        <v>0</v>
      </c>
    </row>
    <row r="77" spans="1:7" ht="15">
      <c r="A77" s="111" t="s">
        <v>341</v>
      </c>
      <c r="B77" s="109">
        <v>2</v>
      </c>
      <c r="C77" s="113">
        <v>0.029031667278904168</v>
      </c>
      <c r="D77" s="109" t="s">
        <v>310</v>
      </c>
      <c r="E77" s="109" t="b">
        <v>0</v>
      </c>
      <c r="F77" s="109" t="b">
        <v>0</v>
      </c>
      <c r="G77" s="109" t="b">
        <v>0</v>
      </c>
    </row>
    <row r="78" spans="1:7" ht="15">
      <c r="A78" s="111" t="s">
        <v>385</v>
      </c>
      <c r="B78" s="109">
        <v>2</v>
      </c>
      <c r="C78" s="113">
        <v>0.029031667278904168</v>
      </c>
      <c r="D78" s="109" t="s">
        <v>310</v>
      </c>
      <c r="E78" s="109" t="b">
        <v>0</v>
      </c>
      <c r="F78" s="109" t="b">
        <v>0</v>
      </c>
      <c r="G78" s="109" t="b">
        <v>0</v>
      </c>
    </row>
    <row r="79" spans="1:7" ht="15">
      <c r="A79" s="111" t="s">
        <v>380</v>
      </c>
      <c r="B79" s="109">
        <v>2</v>
      </c>
      <c r="C79" s="113">
        <v>0.029031667278904168</v>
      </c>
      <c r="D79" s="109" t="s">
        <v>310</v>
      </c>
      <c r="E79" s="109" t="b">
        <v>0</v>
      </c>
      <c r="F79" s="109" t="b">
        <v>0</v>
      </c>
      <c r="G79" s="109" t="b">
        <v>0</v>
      </c>
    </row>
    <row r="80" spans="1:7" ht="15">
      <c r="A80" s="111" t="s">
        <v>345</v>
      </c>
      <c r="B80" s="109">
        <v>3</v>
      </c>
      <c r="C80" s="113">
        <v>0.03766746747786808</v>
      </c>
      <c r="D80" s="109" t="s">
        <v>311</v>
      </c>
      <c r="E80" s="109" t="b">
        <v>0</v>
      </c>
      <c r="F80" s="109" t="b">
        <v>0</v>
      </c>
      <c r="G80" s="109" t="b">
        <v>0</v>
      </c>
    </row>
    <row r="81" spans="1:7" ht="15">
      <c r="A81" s="111" t="s">
        <v>342</v>
      </c>
      <c r="B81" s="109">
        <v>3</v>
      </c>
      <c r="C81" s="113">
        <v>0.03766746747786808</v>
      </c>
      <c r="D81" s="109" t="s">
        <v>311</v>
      </c>
      <c r="E81" s="109" t="b">
        <v>0</v>
      </c>
      <c r="F81" s="109" t="b">
        <v>0</v>
      </c>
      <c r="G81" s="109" t="b">
        <v>0</v>
      </c>
    </row>
    <row r="82" spans="1:7" ht="15">
      <c r="A82" s="111" t="s">
        <v>356</v>
      </c>
      <c r="B82" s="109">
        <v>2</v>
      </c>
      <c r="C82" s="113">
        <v>0.034379605988175986</v>
      </c>
      <c r="D82" s="109" t="s">
        <v>311</v>
      </c>
      <c r="E82" s="109" t="b">
        <v>0</v>
      </c>
      <c r="F82" s="109" t="b">
        <v>0</v>
      </c>
      <c r="G82" s="109" t="b">
        <v>0</v>
      </c>
    </row>
    <row r="83" spans="1:7" ht="15">
      <c r="A83" s="111" t="s">
        <v>340</v>
      </c>
      <c r="B83" s="109">
        <v>4</v>
      </c>
      <c r="C83" s="113">
        <v>0.01829609235273736</v>
      </c>
      <c r="D83" s="109" t="s">
        <v>312</v>
      </c>
      <c r="E83" s="109" t="b">
        <v>0</v>
      </c>
      <c r="F83" s="109" t="b">
        <v>0</v>
      </c>
      <c r="G83" s="109" t="b">
        <v>0</v>
      </c>
    </row>
    <row r="84" spans="1:7" ht="15">
      <c r="A84" s="111" t="s">
        <v>333</v>
      </c>
      <c r="B84" s="109">
        <v>4</v>
      </c>
      <c r="C84" s="113">
        <v>0.01829609235273736</v>
      </c>
      <c r="D84" s="109" t="s">
        <v>312</v>
      </c>
      <c r="E84" s="109" t="b">
        <v>0</v>
      </c>
      <c r="F84" s="109" t="b">
        <v>0</v>
      </c>
      <c r="G84" s="109" t="b">
        <v>0</v>
      </c>
    </row>
    <row r="85" spans="1:7" ht="15">
      <c r="A85" s="111" t="s">
        <v>332</v>
      </c>
      <c r="B85" s="109">
        <v>4</v>
      </c>
      <c r="C85" s="113">
        <v>0.01829609235273736</v>
      </c>
      <c r="D85" s="109" t="s">
        <v>312</v>
      </c>
      <c r="E85" s="109" t="b">
        <v>0</v>
      </c>
      <c r="F85" s="109" t="b">
        <v>0</v>
      </c>
      <c r="G85" s="109" t="b">
        <v>0</v>
      </c>
    </row>
    <row r="86" spans="1:7" ht="15">
      <c r="A86" s="111" t="s">
        <v>377</v>
      </c>
      <c r="B86" s="109">
        <v>3</v>
      </c>
      <c r="C86" s="113">
        <v>0.034482758620689655</v>
      </c>
      <c r="D86" s="109" t="s">
        <v>312</v>
      </c>
      <c r="E86" s="109" t="b">
        <v>0</v>
      </c>
      <c r="F86" s="109" t="b">
        <v>0</v>
      </c>
      <c r="G86" s="109" t="b">
        <v>0</v>
      </c>
    </row>
    <row r="87" spans="1:7" ht="15">
      <c r="A87" s="111" t="s">
        <v>368</v>
      </c>
      <c r="B87" s="109">
        <v>3</v>
      </c>
      <c r="C87" s="113">
        <v>0.034482758620689655</v>
      </c>
      <c r="D87" s="109" t="s">
        <v>312</v>
      </c>
      <c r="E87" s="109" t="b">
        <v>0</v>
      </c>
      <c r="F87" s="109" t="b">
        <v>0</v>
      </c>
      <c r="G87" s="109" t="b">
        <v>0</v>
      </c>
    </row>
    <row r="88" spans="1:7" ht="15">
      <c r="A88" s="111" t="s">
        <v>363</v>
      </c>
      <c r="B88" s="109">
        <v>3</v>
      </c>
      <c r="C88" s="113">
        <v>0.034482758620689655</v>
      </c>
      <c r="D88" s="109" t="s">
        <v>312</v>
      </c>
      <c r="E88" s="109" t="b">
        <v>0</v>
      </c>
      <c r="F88" s="109" t="b">
        <v>0</v>
      </c>
      <c r="G88" s="109" t="b">
        <v>0</v>
      </c>
    </row>
    <row r="89" spans="1:7" ht="15">
      <c r="A89" s="111" t="s">
        <v>370</v>
      </c>
      <c r="B89" s="109">
        <v>3</v>
      </c>
      <c r="C89" s="113">
        <v>0.034482758620689655</v>
      </c>
      <c r="D89" s="109" t="s">
        <v>312</v>
      </c>
      <c r="E89" s="109" t="b">
        <v>0</v>
      </c>
      <c r="F89" s="109" t="b">
        <v>0</v>
      </c>
      <c r="G89" s="109" t="b">
        <v>0</v>
      </c>
    </row>
    <row r="90" spans="1:7" ht="15">
      <c r="A90" s="111" t="s">
        <v>364</v>
      </c>
      <c r="B90" s="109">
        <v>3</v>
      </c>
      <c r="C90" s="113">
        <v>0.034482758620689655</v>
      </c>
      <c r="D90" s="109" t="s">
        <v>312</v>
      </c>
      <c r="E90" s="109" t="b">
        <v>0</v>
      </c>
      <c r="F90" s="109" t="b">
        <v>0</v>
      </c>
      <c r="G90" s="109" t="b">
        <v>0</v>
      </c>
    </row>
    <row r="91" spans="1:7" ht="15">
      <c r="A91" s="111" t="s">
        <v>358</v>
      </c>
      <c r="B91" s="109">
        <v>3</v>
      </c>
      <c r="C91" s="113">
        <v>0.034482758620689655</v>
      </c>
      <c r="D91" s="109" t="s">
        <v>312</v>
      </c>
      <c r="E91" s="109" t="b">
        <v>0</v>
      </c>
      <c r="F91" s="109" t="b">
        <v>0</v>
      </c>
      <c r="G91" s="109" t="b">
        <v>0</v>
      </c>
    </row>
    <row r="92" spans="1:7" ht="15">
      <c r="A92" s="111" t="s">
        <v>357</v>
      </c>
      <c r="B92" s="109">
        <v>3</v>
      </c>
      <c r="C92" s="113">
        <v>0.034482758620689655</v>
      </c>
      <c r="D92" s="109" t="s">
        <v>312</v>
      </c>
      <c r="E92" s="109" t="b">
        <v>0</v>
      </c>
      <c r="F92" s="109" t="b">
        <v>0</v>
      </c>
      <c r="G92" s="109" t="b">
        <v>0</v>
      </c>
    </row>
    <row r="93" spans="1:7" ht="15">
      <c r="A93" s="111" t="s">
        <v>360</v>
      </c>
      <c r="B93" s="109">
        <v>3</v>
      </c>
      <c r="C93" s="113">
        <v>0.034482758620689655</v>
      </c>
      <c r="D93" s="109" t="s">
        <v>312</v>
      </c>
      <c r="E93" s="109" t="b">
        <v>0</v>
      </c>
      <c r="F93" s="109" t="b">
        <v>0</v>
      </c>
      <c r="G93" s="109" t="b">
        <v>0</v>
      </c>
    </row>
    <row r="94" spans="1:7" ht="15">
      <c r="A94" s="111" t="s">
        <v>362</v>
      </c>
      <c r="B94" s="109">
        <v>3</v>
      </c>
      <c r="C94" s="113">
        <v>0.034482758620689655</v>
      </c>
      <c r="D94" s="109" t="s">
        <v>312</v>
      </c>
      <c r="E94" s="109" t="b">
        <v>0</v>
      </c>
      <c r="F94" s="109" t="b">
        <v>0</v>
      </c>
      <c r="G94" s="109" t="b">
        <v>0</v>
      </c>
    </row>
    <row r="95" spans="1:7" ht="15">
      <c r="A95" s="111" t="s">
        <v>369</v>
      </c>
      <c r="B95" s="109">
        <v>3</v>
      </c>
      <c r="C95" s="113">
        <v>0.034482758620689655</v>
      </c>
      <c r="D95" s="109" t="s">
        <v>312</v>
      </c>
      <c r="E95" s="109" t="b">
        <v>0</v>
      </c>
      <c r="F95" s="109" t="b">
        <v>0</v>
      </c>
      <c r="G95" s="109" t="b">
        <v>0</v>
      </c>
    </row>
    <row r="96" spans="1:7" ht="15">
      <c r="A96" s="111" t="s">
        <v>366</v>
      </c>
      <c r="B96" s="109">
        <v>3</v>
      </c>
      <c r="C96" s="113">
        <v>0.034482758620689655</v>
      </c>
      <c r="D96" s="109" t="s">
        <v>312</v>
      </c>
      <c r="E96" s="109" t="b">
        <v>0</v>
      </c>
      <c r="F96" s="109" t="b">
        <v>0</v>
      </c>
      <c r="G96" s="109" t="b">
        <v>0</v>
      </c>
    </row>
    <row r="97" spans="1:7" ht="15">
      <c r="A97" s="111" t="s">
        <v>372</v>
      </c>
      <c r="B97" s="109">
        <v>3</v>
      </c>
      <c r="C97" s="113">
        <v>0.034482758620689655</v>
      </c>
      <c r="D97" s="109" t="s">
        <v>312</v>
      </c>
      <c r="E97" s="109" t="b">
        <v>0</v>
      </c>
      <c r="F97" s="109" t="b">
        <v>0</v>
      </c>
      <c r="G97" s="109" t="b">
        <v>0</v>
      </c>
    </row>
    <row r="98" spans="1:7" ht="15">
      <c r="A98" s="111" t="s">
        <v>374</v>
      </c>
      <c r="B98" s="109">
        <v>3</v>
      </c>
      <c r="C98" s="113">
        <v>0.034482758620689655</v>
      </c>
      <c r="D98" s="109" t="s">
        <v>312</v>
      </c>
      <c r="E98" s="109" t="b">
        <v>0</v>
      </c>
      <c r="F98" s="109" t="b">
        <v>0</v>
      </c>
      <c r="G98" s="109" t="b">
        <v>0</v>
      </c>
    </row>
    <row r="99" spans="1:7" ht="15">
      <c r="A99" s="111" t="s">
        <v>353</v>
      </c>
      <c r="B99" s="109">
        <v>3</v>
      </c>
      <c r="C99" s="113">
        <v>0.034482758620689655</v>
      </c>
      <c r="D99" s="109" t="s">
        <v>312</v>
      </c>
      <c r="E99" s="109" t="b">
        <v>0</v>
      </c>
      <c r="F99" s="109" t="b">
        <v>0</v>
      </c>
      <c r="G99" s="109" t="b">
        <v>0</v>
      </c>
    </row>
    <row r="100" spans="1:7" ht="15">
      <c r="A100" s="111" t="s">
        <v>375</v>
      </c>
      <c r="B100" s="109">
        <v>3</v>
      </c>
      <c r="C100" s="113">
        <v>0.034482758620689655</v>
      </c>
      <c r="D100" s="109" t="s">
        <v>312</v>
      </c>
      <c r="E100" s="109" t="b">
        <v>0</v>
      </c>
      <c r="F100" s="109" t="b">
        <v>0</v>
      </c>
      <c r="G100" s="109" t="b">
        <v>0</v>
      </c>
    </row>
    <row r="101" spans="1:7" ht="15">
      <c r="A101" s="111" t="s">
        <v>355</v>
      </c>
      <c r="B101" s="109">
        <v>3</v>
      </c>
      <c r="C101" s="113">
        <v>0.034482758620689655</v>
      </c>
      <c r="D101" s="109" t="s">
        <v>312</v>
      </c>
      <c r="E101" s="109" t="b">
        <v>0</v>
      </c>
      <c r="F101" s="109" t="b">
        <v>0</v>
      </c>
      <c r="G101" s="109" t="b">
        <v>0</v>
      </c>
    </row>
    <row r="102" spans="1:7" ht="15">
      <c r="A102" s="111" t="s">
        <v>335</v>
      </c>
      <c r="B102" s="109">
        <v>6</v>
      </c>
      <c r="C102" s="113">
        <v>0.05443437614794531</v>
      </c>
      <c r="D102" s="109" t="s">
        <v>313</v>
      </c>
      <c r="E102" s="109" t="b">
        <v>0</v>
      </c>
      <c r="F102" s="109" t="b">
        <v>0</v>
      </c>
      <c r="G102" s="109" t="b">
        <v>0</v>
      </c>
    </row>
    <row r="103" spans="1:7" ht="15">
      <c r="A103" s="111" t="s">
        <v>334</v>
      </c>
      <c r="B103" s="109">
        <v>6</v>
      </c>
      <c r="C103" s="113">
        <v>0.05443437614794531</v>
      </c>
      <c r="D103" s="109" t="s">
        <v>313</v>
      </c>
      <c r="E103" s="109" t="b">
        <v>0</v>
      </c>
      <c r="F103" s="109" t="b">
        <v>0</v>
      </c>
      <c r="G103" s="109" t="b">
        <v>0</v>
      </c>
    </row>
    <row r="104" spans="1:7" ht="15">
      <c r="A104" s="111" t="s">
        <v>343</v>
      </c>
      <c r="B104" s="109">
        <v>5</v>
      </c>
      <c r="C104" s="113">
        <v>0.04536198012328776</v>
      </c>
      <c r="D104" s="109" t="s">
        <v>313</v>
      </c>
      <c r="E104" s="109" t="b">
        <v>0</v>
      </c>
      <c r="F104" s="109" t="b">
        <v>0</v>
      </c>
      <c r="G104" s="109" t="b">
        <v>0</v>
      </c>
    </row>
    <row r="105" spans="1:7" ht="15">
      <c r="A105" s="111" t="s">
        <v>341</v>
      </c>
      <c r="B105" s="109">
        <v>4</v>
      </c>
      <c r="C105" s="113">
        <v>0.01956569545063125</v>
      </c>
      <c r="D105" s="109" t="s">
        <v>313</v>
      </c>
      <c r="E105" s="109" t="b">
        <v>0</v>
      </c>
      <c r="F105" s="109" t="b">
        <v>0</v>
      </c>
      <c r="G105" s="109" t="b">
        <v>0</v>
      </c>
    </row>
    <row r="106" spans="1:7" ht="15">
      <c r="A106" s="111" t="s">
        <v>332</v>
      </c>
      <c r="B106" s="109">
        <v>4</v>
      </c>
      <c r="C106" s="113">
        <v>0.01956569545063125</v>
      </c>
      <c r="D106" s="109" t="s">
        <v>313</v>
      </c>
      <c r="E106" s="109" t="b">
        <v>0</v>
      </c>
      <c r="F106" s="109" t="b">
        <v>0</v>
      </c>
      <c r="G106" s="109" t="b">
        <v>0</v>
      </c>
    </row>
    <row r="107" spans="1:7" ht="15">
      <c r="A107" s="111" t="s">
        <v>359</v>
      </c>
      <c r="B107" s="109">
        <v>3</v>
      </c>
      <c r="C107" s="113">
        <v>0.039760104559971865</v>
      </c>
      <c r="D107" s="109" t="s">
        <v>313</v>
      </c>
      <c r="E107" s="109" t="b">
        <v>0</v>
      </c>
      <c r="F107" s="109" t="b">
        <v>0</v>
      </c>
      <c r="G107" s="109" t="b">
        <v>0</v>
      </c>
    </row>
    <row r="108" spans="1:7" ht="15">
      <c r="A108" s="111" t="s">
        <v>361</v>
      </c>
      <c r="B108" s="109">
        <v>3</v>
      </c>
      <c r="C108" s="113">
        <v>0.039760104559971865</v>
      </c>
      <c r="D108" s="109" t="s">
        <v>313</v>
      </c>
      <c r="E108" s="109" t="b">
        <v>0</v>
      </c>
      <c r="F108" s="109" t="b">
        <v>0</v>
      </c>
      <c r="G108" s="109" t="b">
        <v>0</v>
      </c>
    </row>
    <row r="109" spans="1:7" ht="15">
      <c r="A109" s="111" t="s">
        <v>346</v>
      </c>
      <c r="B109" s="109">
        <v>3</v>
      </c>
      <c r="C109" s="113">
        <v>0.039760104559971865</v>
      </c>
      <c r="D109" s="109" t="s">
        <v>313</v>
      </c>
      <c r="E109" s="109" t="b">
        <v>0</v>
      </c>
      <c r="F109" s="109" t="b">
        <v>0</v>
      </c>
      <c r="G109" s="109" t="b">
        <v>0</v>
      </c>
    </row>
    <row r="110" spans="1:7" ht="15">
      <c r="A110" s="111" t="s">
        <v>347</v>
      </c>
      <c r="B110" s="109">
        <v>3</v>
      </c>
      <c r="C110" s="113">
        <v>0.039760104559971865</v>
      </c>
      <c r="D110" s="109" t="s">
        <v>313</v>
      </c>
      <c r="E110" s="109" t="b">
        <v>0</v>
      </c>
      <c r="F110" s="109" t="b">
        <v>0</v>
      </c>
      <c r="G110" s="109" t="b">
        <v>0</v>
      </c>
    </row>
    <row r="111" spans="1:7" ht="15">
      <c r="A111" s="111" t="s">
        <v>367</v>
      </c>
      <c r="B111" s="109">
        <v>3</v>
      </c>
      <c r="C111" s="113">
        <v>0.039760104559971865</v>
      </c>
      <c r="D111" s="109" t="s">
        <v>313</v>
      </c>
      <c r="E111" s="109" t="b">
        <v>0</v>
      </c>
      <c r="F111" s="109" t="b">
        <v>0</v>
      </c>
      <c r="G111" s="109" t="b">
        <v>0</v>
      </c>
    </row>
    <row r="112" spans="1:7" ht="15">
      <c r="A112" s="111" t="s">
        <v>349</v>
      </c>
      <c r="B112" s="109">
        <v>3</v>
      </c>
      <c r="C112" s="113">
        <v>0.039760104559971865</v>
      </c>
      <c r="D112" s="109" t="s">
        <v>313</v>
      </c>
      <c r="E112" s="109" t="b">
        <v>0</v>
      </c>
      <c r="F112" s="109" t="b">
        <v>0</v>
      </c>
      <c r="G112" s="109" t="b">
        <v>0</v>
      </c>
    </row>
    <row r="113" spans="1:7" ht="15">
      <c r="A113" s="111" t="s">
        <v>376</v>
      </c>
      <c r="B113" s="109">
        <v>3</v>
      </c>
      <c r="C113" s="113">
        <v>0.039760104559971865</v>
      </c>
      <c r="D113" s="109" t="s">
        <v>313</v>
      </c>
      <c r="E113" s="109" t="b">
        <v>0</v>
      </c>
      <c r="F113" s="109" t="b">
        <v>0</v>
      </c>
      <c r="G113" s="109" t="b">
        <v>0</v>
      </c>
    </row>
    <row r="114" spans="1:7" ht="15">
      <c r="A114" s="111" t="s">
        <v>354</v>
      </c>
      <c r="B114" s="109">
        <v>3</v>
      </c>
      <c r="C114" s="113">
        <v>0.039760104559971865</v>
      </c>
      <c r="D114" s="109" t="s">
        <v>313</v>
      </c>
      <c r="E114" s="109" t="b">
        <v>0</v>
      </c>
      <c r="F114" s="109" t="b">
        <v>0</v>
      </c>
      <c r="G114" s="109" t="b">
        <v>0</v>
      </c>
    </row>
    <row r="115" spans="1:7" ht="15">
      <c r="A115" s="111" t="s">
        <v>348</v>
      </c>
      <c r="B115" s="109">
        <v>2</v>
      </c>
      <c r="C115" s="113">
        <v>0.018144792049315104</v>
      </c>
      <c r="D115" s="109" t="s">
        <v>313</v>
      </c>
      <c r="E115" s="109" t="b">
        <v>1</v>
      </c>
      <c r="F115" s="109" t="b">
        <v>0</v>
      </c>
      <c r="G115" s="109" t="b">
        <v>0</v>
      </c>
    </row>
    <row r="116" spans="1:7" ht="15">
      <c r="A116" s="111" t="s">
        <v>383</v>
      </c>
      <c r="B116" s="109">
        <v>2</v>
      </c>
      <c r="C116" s="113">
        <v>0.026506736373314577</v>
      </c>
      <c r="D116" s="109" t="s">
        <v>313</v>
      </c>
      <c r="E116" s="109" t="b">
        <v>0</v>
      </c>
      <c r="F116" s="109" t="b">
        <v>0</v>
      </c>
      <c r="G116" s="109" t="b">
        <v>0</v>
      </c>
    </row>
    <row r="117" spans="1:7" ht="15">
      <c r="A117" s="111" t="s">
        <v>382</v>
      </c>
      <c r="B117" s="109">
        <v>2</v>
      </c>
      <c r="C117" s="113">
        <v>0.026506736373314577</v>
      </c>
      <c r="D117" s="109" t="s">
        <v>313</v>
      </c>
      <c r="E117" s="109" t="b">
        <v>0</v>
      </c>
      <c r="F117" s="109" t="b">
        <v>0</v>
      </c>
      <c r="G117" s="109" t="b">
        <v>0</v>
      </c>
    </row>
    <row r="118" spans="1:7" ht="15">
      <c r="A118" s="111" t="s">
        <v>333</v>
      </c>
      <c r="B118" s="109">
        <v>2</v>
      </c>
      <c r="C118" s="113">
        <v>0.018144792049315104</v>
      </c>
      <c r="D118" s="109" t="s">
        <v>313</v>
      </c>
      <c r="E118" s="109" t="b">
        <v>0</v>
      </c>
      <c r="F118" s="109" t="b">
        <v>0</v>
      </c>
      <c r="G118" s="109" t="b">
        <v>0</v>
      </c>
    </row>
    <row r="119" spans="1:7" ht="15">
      <c r="A119" s="111" t="s">
        <v>342</v>
      </c>
      <c r="B119" s="109">
        <v>2</v>
      </c>
      <c r="C119" s="113">
        <v>0.026506736373314577</v>
      </c>
      <c r="D119" s="109" t="s">
        <v>313</v>
      </c>
      <c r="E119" s="109" t="b">
        <v>0</v>
      </c>
      <c r="F119" s="109" t="b">
        <v>0</v>
      </c>
      <c r="G119" s="109" t="b">
        <v>0</v>
      </c>
    </row>
    <row r="120" spans="1:7" ht="15">
      <c r="A120" s="111" t="s">
        <v>336</v>
      </c>
      <c r="B120" s="109">
        <v>9</v>
      </c>
      <c r="C120" s="113">
        <v>0.07233431302736848</v>
      </c>
      <c r="D120" s="109" t="s">
        <v>314</v>
      </c>
      <c r="E120" s="109" t="b">
        <v>0</v>
      </c>
      <c r="F120" s="109" t="b">
        <v>0</v>
      </c>
      <c r="G120" s="109" t="b">
        <v>0</v>
      </c>
    </row>
    <row r="121" spans="1:7" ht="15">
      <c r="A121" s="111" t="s">
        <v>337</v>
      </c>
      <c r="B121" s="109">
        <v>9</v>
      </c>
      <c r="C121" s="113">
        <v>0.07233431302736848</v>
      </c>
      <c r="D121" s="109" t="s">
        <v>314</v>
      </c>
      <c r="E121" s="109" t="b">
        <v>0</v>
      </c>
      <c r="F121" s="109" t="b">
        <v>0</v>
      </c>
      <c r="G121" s="109" t="b">
        <v>0</v>
      </c>
    </row>
    <row r="122" spans="1:7" ht="15">
      <c r="A122" s="111" t="s">
        <v>339</v>
      </c>
      <c r="B122" s="109">
        <v>9</v>
      </c>
      <c r="C122" s="113">
        <v>0.07233431302736848</v>
      </c>
      <c r="D122" s="109" t="s">
        <v>314</v>
      </c>
      <c r="E122" s="109" t="b">
        <v>0</v>
      </c>
      <c r="F122" s="109" t="b">
        <v>0</v>
      </c>
      <c r="G122" s="109" t="b">
        <v>0</v>
      </c>
    </row>
    <row r="123" spans="1:7" ht="15">
      <c r="A123" s="111" t="s">
        <v>338</v>
      </c>
      <c r="B123" s="109">
        <v>9</v>
      </c>
      <c r="C123" s="113">
        <v>0.07233431302736848</v>
      </c>
      <c r="D123" s="109" t="s">
        <v>314</v>
      </c>
      <c r="E123" s="109" t="b">
        <v>0</v>
      </c>
      <c r="F123" s="109" t="b">
        <v>0</v>
      </c>
      <c r="G123" s="109" t="b">
        <v>0</v>
      </c>
    </row>
    <row r="124" spans="1:7" ht="15">
      <c r="A124" s="111" t="s">
        <v>344</v>
      </c>
      <c r="B124" s="109">
        <v>4</v>
      </c>
      <c r="C124" s="113">
        <v>0.022719244955772166</v>
      </c>
      <c r="D124" s="109" t="s">
        <v>314</v>
      </c>
      <c r="E124" s="109" t="b">
        <v>0</v>
      </c>
      <c r="F124" s="109" t="b">
        <v>0</v>
      </c>
      <c r="G124" s="109" t="b">
        <v>0</v>
      </c>
    </row>
    <row r="125" spans="1:7" ht="15">
      <c r="A125" s="111" t="s">
        <v>332</v>
      </c>
      <c r="B125" s="109">
        <v>3</v>
      </c>
      <c r="C125" s="113">
        <v>0.024111437675789497</v>
      </c>
      <c r="D125" s="109" t="s">
        <v>314</v>
      </c>
      <c r="E125" s="109" t="b">
        <v>0</v>
      </c>
      <c r="F125" s="109" t="b">
        <v>0</v>
      </c>
      <c r="G125" s="109" t="b">
        <v>0</v>
      </c>
    </row>
    <row r="126" spans="1:7" ht="15">
      <c r="A126" s="111" t="s">
        <v>333</v>
      </c>
      <c r="B126" s="109">
        <v>3</v>
      </c>
      <c r="C126" s="113">
        <v>0.024111437675789497</v>
      </c>
      <c r="D126" s="109" t="s">
        <v>314</v>
      </c>
      <c r="E126" s="109" t="b">
        <v>0</v>
      </c>
      <c r="F126" s="109" t="b">
        <v>0</v>
      </c>
      <c r="G126" s="109" t="b">
        <v>0</v>
      </c>
    </row>
    <row r="127" spans="1:7" ht="15">
      <c r="A127" s="111" t="s">
        <v>340</v>
      </c>
      <c r="B127" s="109">
        <v>2</v>
      </c>
      <c r="C127" s="113">
        <v>0.022719244955772166</v>
      </c>
      <c r="D127" s="109" t="s">
        <v>314</v>
      </c>
      <c r="E127" s="109" t="b">
        <v>0</v>
      </c>
      <c r="F127" s="109" t="b">
        <v>0</v>
      </c>
      <c r="G127" s="10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DD9BA-F015-427F-BA6B-ACC0C74CDFC6}">
  <dimension ref="A1:L1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397</v>
      </c>
      <c r="B1" s="7" t="s">
        <v>398</v>
      </c>
      <c r="C1" s="7" t="s">
        <v>388</v>
      </c>
      <c r="D1" s="7" t="s">
        <v>392</v>
      </c>
      <c r="E1" s="7" t="s">
        <v>399</v>
      </c>
      <c r="F1" s="7" t="s">
        <v>144</v>
      </c>
      <c r="G1" s="7" t="s">
        <v>400</v>
      </c>
      <c r="H1" s="7" t="s">
        <v>401</v>
      </c>
      <c r="I1" s="7" t="s">
        <v>402</v>
      </c>
      <c r="J1" s="7" t="s">
        <v>403</v>
      </c>
      <c r="K1" s="7" t="s">
        <v>404</v>
      </c>
      <c r="L1" s="7" t="s">
        <v>405</v>
      </c>
    </row>
    <row r="2" spans="1:12" ht="15">
      <c r="A2" s="109" t="s">
        <v>333</v>
      </c>
      <c r="B2" s="109" t="s">
        <v>332</v>
      </c>
      <c r="C2" s="109">
        <v>12</v>
      </c>
      <c r="D2" s="113">
        <v>0.023350424449941103</v>
      </c>
      <c r="E2" s="113">
        <v>1.2235824624253568</v>
      </c>
      <c r="F2" s="109" t="s">
        <v>393</v>
      </c>
      <c r="G2" s="109" t="b">
        <v>0</v>
      </c>
      <c r="H2" s="109" t="b">
        <v>0</v>
      </c>
      <c r="I2" s="109" t="b">
        <v>0</v>
      </c>
      <c r="J2" s="109" t="b">
        <v>0</v>
      </c>
      <c r="K2" s="109" t="b">
        <v>0</v>
      </c>
      <c r="L2" s="109" t="b">
        <v>0</v>
      </c>
    </row>
    <row r="3" spans="1:12" ht="15">
      <c r="A3" s="111" t="s">
        <v>336</v>
      </c>
      <c r="B3" s="109" t="s">
        <v>338</v>
      </c>
      <c r="C3" s="109">
        <v>9</v>
      </c>
      <c r="D3" s="113">
        <v>0.03588075027627503</v>
      </c>
      <c r="E3" s="113">
        <v>1.4454312120417132</v>
      </c>
      <c r="F3" s="109" t="s">
        <v>393</v>
      </c>
      <c r="G3" s="109" t="b">
        <v>0</v>
      </c>
      <c r="H3" s="109" t="b">
        <v>0</v>
      </c>
      <c r="I3" s="109" t="b">
        <v>0</v>
      </c>
      <c r="J3" s="109" t="b">
        <v>0</v>
      </c>
      <c r="K3" s="109" t="b">
        <v>0</v>
      </c>
      <c r="L3" s="109" t="b">
        <v>0</v>
      </c>
    </row>
    <row r="4" spans="1:12" ht="15">
      <c r="A4" s="111" t="s">
        <v>335</v>
      </c>
      <c r="B4" s="109" t="s">
        <v>334</v>
      </c>
      <c r="C4" s="109">
        <v>9</v>
      </c>
      <c r="D4" s="113">
        <v>0.03588075027627503</v>
      </c>
      <c r="E4" s="113">
        <v>1.4454312120417132</v>
      </c>
      <c r="F4" s="109" t="s">
        <v>393</v>
      </c>
      <c r="G4" s="109" t="b">
        <v>0</v>
      </c>
      <c r="H4" s="109" t="b">
        <v>0</v>
      </c>
      <c r="I4" s="109" t="b">
        <v>0</v>
      </c>
      <c r="J4" s="109" t="b">
        <v>0</v>
      </c>
      <c r="K4" s="109" t="b">
        <v>0</v>
      </c>
      <c r="L4" s="109" t="b">
        <v>0</v>
      </c>
    </row>
    <row r="5" spans="1:12" ht="15">
      <c r="A5" s="111" t="s">
        <v>337</v>
      </c>
      <c r="B5" s="109" t="s">
        <v>339</v>
      </c>
      <c r="C5" s="109">
        <v>9</v>
      </c>
      <c r="D5" s="113">
        <v>0.03588075027627503</v>
      </c>
      <c r="E5" s="113">
        <v>1.4454312120417132</v>
      </c>
      <c r="F5" s="109" t="s">
        <v>393</v>
      </c>
      <c r="G5" s="109" t="b">
        <v>0</v>
      </c>
      <c r="H5" s="109" t="b">
        <v>0</v>
      </c>
      <c r="I5" s="109" t="b">
        <v>0</v>
      </c>
      <c r="J5" s="109" t="b">
        <v>0</v>
      </c>
      <c r="K5" s="109" t="b">
        <v>0</v>
      </c>
      <c r="L5" s="109" t="b">
        <v>0</v>
      </c>
    </row>
    <row r="6" spans="1:12" ht="15">
      <c r="A6" s="111" t="s">
        <v>339</v>
      </c>
      <c r="B6" s="109" t="s">
        <v>336</v>
      </c>
      <c r="C6" s="109">
        <v>9</v>
      </c>
      <c r="D6" s="113">
        <v>0.03588075027627503</v>
      </c>
      <c r="E6" s="113">
        <v>1.4454312120417132</v>
      </c>
      <c r="F6" s="109" t="s">
        <v>393</v>
      </c>
      <c r="G6" s="109" t="b">
        <v>0</v>
      </c>
      <c r="H6" s="109" t="b">
        <v>0</v>
      </c>
      <c r="I6" s="109" t="b">
        <v>0</v>
      </c>
      <c r="J6" s="109" t="b">
        <v>0</v>
      </c>
      <c r="K6" s="109" t="b">
        <v>0</v>
      </c>
      <c r="L6" s="109" t="b">
        <v>0</v>
      </c>
    </row>
    <row r="7" spans="1:12" ht="15">
      <c r="A7" s="111" t="s">
        <v>332</v>
      </c>
      <c r="B7" s="109" t="s">
        <v>340</v>
      </c>
      <c r="C7" s="109">
        <v>6</v>
      </c>
      <c r="D7" s="113">
        <v>0.01779785620457695</v>
      </c>
      <c r="E7" s="113">
        <v>1.2235824624253568</v>
      </c>
      <c r="F7" s="109" t="s">
        <v>393</v>
      </c>
      <c r="G7" s="109" t="b">
        <v>0</v>
      </c>
      <c r="H7" s="109" t="b">
        <v>0</v>
      </c>
      <c r="I7" s="109" t="b">
        <v>0</v>
      </c>
      <c r="J7" s="109" t="b">
        <v>0</v>
      </c>
      <c r="K7" s="109" t="b">
        <v>0</v>
      </c>
      <c r="L7" s="109" t="b">
        <v>0</v>
      </c>
    </row>
    <row r="8" spans="1:12" ht="15">
      <c r="A8" s="111" t="s">
        <v>338</v>
      </c>
      <c r="B8" s="109" t="s">
        <v>337</v>
      </c>
      <c r="C8" s="109">
        <v>6</v>
      </c>
      <c r="D8" s="113">
        <v>0.023920500184183346</v>
      </c>
      <c r="E8" s="113">
        <v>1.2693399529860319</v>
      </c>
      <c r="F8" s="109" t="s">
        <v>393</v>
      </c>
      <c r="G8" s="109" t="b">
        <v>0</v>
      </c>
      <c r="H8" s="109" t="b">
        <v>0</v>
      </c>
      <c r="I8" s="109" t="b">
        <v>0</v>
      </c>
      <c r="J8" s="109" t="b">
        <v>0</v>
      </c>
      <c r="K8" s="109" t="b">
        <v>0</v>
      </c>
      <c r="L8" s="109" t="b">
        <v>0</v>
      </c>
    </row>
    <row r="9" spans="1:12" ht="15">
      <c r="A9" s="111" t="s">
        <v>345</v>
      </c>
      <c r="B9" s="109" t="s">
        <v>342</v>
      </c>
      <c r="C9" s="109">
        <v>4</v>
      </c>
      <c r="D9" s="113">
        <v>0.014252915558608558</v>
      </c>
      <c r="E9" s="113">
        <v>1.7007037171450192</v>
      </c>
      <c r="F9" s="109" t="s">
        <v>393</v>
      </c>
      <c r="G9" s="109" t="b">
        <v>0</v>
      </c>
      <c r="H9" s="109" t="b">
        <v>0</v>
      </c>
      <c r="I9" s="109" t="b">
        <v>0</v>
      </c>
      <c r="J9" s="109" t="b">
        <v>0</v>
      </c>
      <c r="K9" s="109" t="b">
        <v>0</v>
      </c>
      <c r="L9" s="109" t="b">
        <v>0</v>
      </c>
    </row>
    <row r="10" spans="1:12" ht="15">
      <c r="A10" s="111" t="s">
        <v>349</v>
      </c>
      <c r="B10" s="109" t="s">
        <v>376</v>
      </c>
      <c r="C10" s="109">
        <v>3</v>
      </c>
      <c r="D10" s="113">
        <v>0.016812330648562815</v>
      </c>
      <c r="E10" s="113">
        <v>1.9225524667613758</v>
      </c>
      <c r="F10" s="109" t="s">
        <v>393</v>
      </c>
      <c r="G10" s="109" t="b">
        <v>0</v>
      </c>
      <c r="H10" s="109" t="b">
        <v>0</v>
      </c>
      <c r="I10" s="109" t="b">
        <v>0</v>
      </c>
      <c r="J10" s="109" t="b">
        <v>0</v>
      </c>
      <c r="K10" s="109" t="b">
        <v>0</v>
      </c>
      <c r="L10" s="109" t="b">
        <v>0</v>
      </c>
    </row>
    <row r="11" spans="1:12" ht="15">
      <c r="A11" s="111" t="s">
        <v>374</v>
      </c>
      <c r="B11" s="109" t="s">
        <v>357</v>
      </c>
      <c r="C11" s="109">
        <v>3</v>
      </c>
      <c r="D11" s="113">
        <v>0.016812330648562815</v>
      </c>
      <c r="E11" s="113">
        <v>1.9225524667613758</v>
      </c>
      <c r="F11" s="109" t="s">
        <v>393</v>
      </c>
      <c r="G11" s="109" t="b">
        <v>0</v>
      </c>
      <c r="H11" s="109" t="b">
        <v>0</v>
      </c>
      <c r="I11" s="109" t="b">
        <v>0</v>
      </c>
      <c r="J11" s="109" t="b">
        <v>0</v>
      </c>
      <c r="K11" s="109" t="b">
        <v>0</v>
      </c>
      <c r="L11" s="109" t="b">
        <v>0</v>
      </c>
    </row>
    <row r="12" spans="1:12" ht="15">
      <c r="A12" s="111" t="s">
        <v>370</v>
      </c>
      <c r="B12" s="109" t="s">
        <v>372</v>
      </c>
      <c r="C12" s="109">
        <v>3</v>
      </c>
      <c r="D12" s="113">
        <v>0.016812330648562815</v>
      </c>
      <c r="E12" s="113">
        <v>1.9225524667613758</v>
      </c>
      <c r="F12" s="109" t="s">
        <v>393</v>
      </c>
      <c r="G12" s="109" t="b">
        <v>0</v>
      </c>
      <c r="H12" s="109" t="b">
        <v>0</v>
      </c>
      <c r="I12" s="109" t="b">
        <v>0</v>
      </c>
      <c r="J12" s="109" t="b">
        <v>0</v>
      </c>
      <c r="K12" s="109" t="b">
        <v>0</v>
      </c>
      <c r="L12" s="109" t="b">
        <v>0</v>
      </c>
    </row>
    <row r="13" spans="1:12" ht="15">
      <c r="A13" s="111" t="s">
        <v>368</v>
      </c>
      <c r="B13" s="109" t="s">
        <v>358</v>
      </c>
      <c r="C13" s="109">
        <v>3</v>
      </c>
      <c r="D13" s="113">
        <v>0.016812330648562815</v>
      </c>
      <c r="E13" s="113">
        <v>1.9225524667613758</v>
      </c>
      <c r="F13" s="109" t="s">
        <v>393</v>
      </c>
      <c r="G13" s="109" t="b">
        <v>0</v>
      </c>
      <c r="H13" s="109" t="b">
        <v>0</v>
      </c>
      <c r="I13" s="109" t="b">
        <v>0</v>
      </c>
      <c r="J13" s="109" t="b">
        <v>0</v>
      </c>
      <c r="K13" s="109" t="b">
        <v>0</v>
      </c>
      <c r="L13" s="109" t="b">
        <v>0</v>
      </c>
    </row>
    <row r="14" spans="1:12" ht="15">
      <c r="A14" s="111" t="s">
        <v>358</v>
      </c>
      <c r="B14" s="109" t="s">
        <v>369</v>
      </c>
      <c r="C14" s="109">
        <v>3</v>
      </c>
      <c r="D14" s="113">
        <v>0.016812330648562815</v>
      </c>
      <c r="E14" s="113">
        <v>1.9225524667613758</v>
      </c>
      <c r="F14" s="109" t="s">
        <v>393</v>
      </c>
      <c r="G14" s="109" t="b">
        <v>0</v>
      </c>
      <c r="H14" s="109" t="b">
        <v>0</v>
      </c>
      <c r="I14" s="109" t="b">
        <v>0</v>
      </c>
      <c r="J14" s="109" t="b">
        <v>0</v>
      </c>
      <c r="K14" s="109" t="b">
        <v>0</v>
      </c>
      <c r="L14" s="109" t="b">
        <v>0</v>
      </c>
    </row>
    <row r="15" spans="1:12" ht="15">
      <c r="A15" s="111" t="s">
        <v>363</v>
      </c>
      <c r="B15" s="109" t="s">
        <v>374</v>
      </c>
      <c r="C15" s="109">
        <v>3</v>
      </c>
      <c r="D15" s="113">
        <v>0.016812330648562815</v>
      </c>
      <c r="E15" s="113">
        <v>1.9225524667613758</v>
      </c>
      <c r="F15" s="109" t="s">
        <v>393</v>
      </c>
      <c r="G15" s="109" t="b">
        <v>0</v>
      </c>
      <c r="H15" s="109" t="b">
        <v>0</v>
      </c>
      <c r="I15" s="109" t="b">
        <v>0</v>
      </c>
      <c r="J15" s="109" t="b">
        <v>0</v>
      </c>
      <c r="K15" s="109" t="b">
        <v>0</v>
      </c>
      <c r="L15" s="109" t="b">
        <v>0</v>
      </c>
    </row>
    <row r="16" spans="1:12" ht="15">
      <c r="A16" s="111" t="s">
        <v>347</v>
      </c>
      <c r="B16" s="109" t="s">
        <v>367</v>
      </c>
      <c r="C16" s="109">
        <v>3</v>
      </c>
      <c r="D16" s="113">
        <v>0.016812330648562815</v>
      </c>
      <c r="E16" s="113">
        <v>1.9225524667613758</v>
      </c>
      <c r="F16" s="109" t="s">
        <v>393</v>
      </c>
      <c r="G16" s="109" t="b">
        <v>0</v>
      </c>
      <c r="H16" s="109" t="b">
        <v>0</v>
      </c>
      <c r="I16" s="109" t="b">
        <v>0</v>
      </c>
      <c r="J16" s="109" t="b">
        <v>0</v>
      </c>
      <c r="K16" s="109" t="b">
        <v>0</v>
      </c>
      <c r="L16" s="109" t="b">
        <v>0</v>
      </c>
    </row>
    <row r="17" spans="1:12" ht="15">
      <c r="A17" s="111" t="s">
        <v>371</v>
      </c>
      <c r="B17" s="109" t="s">
        <v>352</v>
      </c>
      <c r="C17" s="109">
        <v>3</v>
      </c>
      <c r="D17" s="113">
        <v>0.016812330648562815</v>
      </c>
      <c r="E17" s="113">
        <v>1.9225524667613758</v>
      </c>
      <c r="F17" s="109" t="s">
        <v>393</v>
      </c>
      <c r="G17" s="109" t="b">
        <v>0</v>
      </c>
      <c r="H17" s="109" t="b">
        <v>0</v>
      </c>
      <c r="I17" s="109" t="b">
        <v>0</v>
      </c>
      <c r="J17" s="109" t="b">
        <v>0</v>
      </c>
      <c r="K17" s="109" t="b">
        <v>0</v>
      </c>
      <c r="L17" s="109" t="b">
        <v>0</v>
      </c>
    </row>
    <row r="18" spans="1:12" ht="15">
      <c r="A18" s="111" t="s">
        <v>361</v>
      </c>
      <c r="B18" s="109" t="s">
        <v>354</v>
      </c>
      <c r="C18" s="109">
        <v>3</v>
      </c>
      <c r="D18" s="113">
        <v>0.016812330648562815</v>
      </c>
      <c r="E18" s="113">
        <v>1.9225524667613758</v>
      </c>
      <c r="F18" s="109" t="s">
        <v>393</v>
      </c>
      <c r="G18" s="109" t="b">
        <v>0</v>
      </c>
      <c r="H18" s="109" t="b">
        <v>0</v>
      </c>
      <c r="I18" s="109" t="b">
        <v>0</v>
      </c>
      <c r="J18" s="109" t="b">
        <v>0</v>
      </c>
      <c r="K18" s="109" t="b">
        <v>0</v>
      </c>
      <c r="L18" s="109" t="b">
        <v>0</v>
      </c>
    </row>
    <row r="19" spans="1:12" ht="15">
      <c r="A19" s="111" t="s">
        <v>334</v>
      </c>
      <c r="B19" s="109" t="s">
        <v>349</v>
      </c>
      <c r="C19" s="109">
        <v>3</v>
      </c>
      <c r="D19" s="113">
        <v>0.016812330648562815</v>
      </c>
      <c r="E19" s="113">
        <v>1.4454312120417132</v>
      </c>
      <c r="F19" s="109" t="s">
        <v>393</v>
      </c>
      <c r="G19" s="109" t="b">
        <v>0</v>
      </c>
      <c r="H19" s="109" t="b">
        <v>0</v>
      </c>
      <c r="I19" s="109" t="b">
        <v>0</v>
      </c>
      <c r="J19" s="109" t="b">
        <v>0</v>
      </c>
      <c r="K19" s="109" t="b">
        <v>0</v>
      </c>
      <c r="L19" s="109" t="b">
        <v>0</v>
      </c>
    </row>
    <row r="20" spans="1:12" ht="15">
      <c r="A20" s="111" t="s">
        <v>348</v>
      </c>
      <c r="B20" s="109" t="s">
        <v>341</v>
      </c>
      <c r="C20" s="109">
        <v>3</v>
      </c>
      <c r="D20" s="113">
        <v>0.011960250092091673</v>
      </c>
      <c r="E20" s="113">
        <v>1.6215224710973946</v>
      </c>
      <c r="F20" s="109" t="s">
        <v>393</v>
      </c>
      <c r="G20" s="109" t="b">
        <v>1</v>
      </c>
      <c r="H20" s="109" t="b">
        <v>0</v>
      </c>
      <c r="I20" s="109" t="b">
        <v>0</v>
      </c>
      <c r="J20" s="109" t="b">
        <v>0</v>
      </c>
      <c r="K20" s="109" t="b">
        <v>0</v>
      </c>
      <c r="L20" s="109" t="b">
        <v>0</v>
      </c>
    </row>
    <row r="21" spans="1:12" ht="15">
      <c r="A21" s="111" t="s">
        <v>375</v>
      </c>
      <c r="B21" s="109" t="s">
        <v>377</v>
      </c>
      <c r="C21" s="109">
        <v>3</v>
      </c>
      <c r="D21" s="113">
        <v>0.016812330648562815</v>
      </c>
      <c r="E21" s="113">
        <v>1.9225524667613758</v>
      </c>
      <c r="F21" s="109" t="s">
        <v>393</v>
      </c>
      <c r="G21" s="109" t="b">
        <v>0</v>
      </c>
      <c r="H21" s="109" t="b">
        <v>0</v>
      </c>
      <c r="I21" s="109" t="b">
        <v>0</v>
      </c>
      <c r="J21" s="109" t="b">
        <v>0</v>
      </c>
      <c r="K21" s="109" t="b">
        <v>0</v>
      </c>
      <c r="L21" s="109" t="b">
        <v>0</v>
      </c>
    </row>
    <row r="22" spans="1:12" ht="15">
      <c r="A22" s="111" t="s">
        <v>362</v>
      </c>
      <c r="B22" s="109" t="s">
        <v>370</v>
      </c>
      <c r="C22" s="109">
        <v>3</v>
      </c>
      <c r="D22" s="113">
        <v>0.016812330648562815</v>
      </c>
      <c r="E22" s="113">
        <v>1.9225524667613758</v>
      </c>
      <c r="F22" s="109" t="s">
        <v>393</v>
      </c>
      <c r="G22" s="109" t="b">
        <v>0</v>
      </c>
      <c r="H22" s="109" t="b">
        <v>0</v>
      </c>
      <c r="I22" s="109" t="b">
        <v>0</v>
      </c>
      <c r="J22" s="109" t="b">
        <v>0</v>
      </c>
      <c r="K22" s="109" t="b">
        <v>0</v>
      </c>
      <c r="L22" s="109" t="b">
        <v>0</v>
      </c>
    </row>
    <row r="23" spans="1:12" ht="15">
      <c r="A23" s="111" t="s">
        <v>366</v>
      </c>
      <c r="B23" s="109" t="s">
        <v>363</v>
      </c>
      <c r="C23" s="109">
        <v>3</v>
      </c>
      <c r="D23" s="113">
        <v>0.016812330648562815</v>
      </c>
      <c r="E23" s="113">
        <v>1.9225524667613758</v>
      </c>
      <c r="F23" s="109" t="s">
        <v>393</v>
      </c>
      <c r="G23" s="109" t="b">
        <v>0</v>
      </c>
      <c r="H23" s="109" t="b">
        <v>0</v>
      </c>
      <c r="I23" s="109" t="b">
        <v>0</v>
      </c>
      <c r="J23" s="109" t="b">
        <v>0</v>
      </c>
      <c r="K23" s="109" t="b">
        <v>0</v>
      </c>
      <c r="L23" s="109" t="b">
        <v>0</v>
      </c>
    </row>
    <row r="24" spans="1:12" ht="15">
      <c r="A24" s="111" t="s">
        <v>334</v>
      </c>
      <c r="B24" s="109" t="s">
        <v>371</v>
      </c>
      <c r="C24" s="109">
        <v>3</v>
      </c>
      <c r="D24" s="113">
        <v>0.016812330648562815</v>
      </c>
      <c r="E24" s="113">
        <v>1.4454312120417132</v>
      </c>
      <c r="F24" s="109" t="s">
        <v>393</v>
      </c>
      <c r="G24" s="109" t="b">
        <v>0</v>
      </c>
      <c r="H24" s="109" t="b">
        <v>0</v>
      </c>
      <c r="I24" s="109" t="b">
        <v>0</v>
      </c>
      <c r="J24" s="109" t="b">
        <v>0</v>
      </c>
      <c r="K24" s="109" t="b">
        <v>0</v>
      </c>
      <c r="L24" s="109" t="b">
        <v>0</v>
      </c>
    </row>
    <row r="25" spans="1:12" ht="15">
      <c r="A25" s="111" t="s">
        <v>359</v>
      </c>
      <c r="B25" s="109" t="s">
        <v>346</v>
      </c>
      <c r="C25" s="109">
        <v>3</v>
      </c>
      <c r="D25" s="113">
        <v>0.016812330648562815</v>
      </c>
      <c r="E25" s="113">
        <v>1.9225524667613758</v>
      </c>
      <c r="F25" s="109" t="s">
        <v>393</v>
      </c>
      <c r="G25" s="109" t="b">
        <v>0</v>
      </c>
      <c r="H25" s="109" t="b">
        <v>0</v>
      </c>
      <c r="I25" s="109" t="b">
        <v>0</v>
      </c>
      <c r="J25" s="109" t="b">
        <v>0</v>
      </c>
      <c r="K25" s="109" t="b">
        <v>0</v>
      </c>
      <c r="L25" s="109" t="b">
        <v>0</v>
      </c>
    </row>
    <row r="26" spans="1:12" ht="15">
      <c r="A26" s="111" t="s">
        <v>332</v>
      </c>
      <c r="B26" s="109" t="s">
        <v>335</v>
      </c>
      <c r="C26" s="109">
        <v>3</v>
      </c>
      <c r="D26" s="113">
        <v>0.011960250092091673</v>
      </c>
      <c r="E26" s="113">
        <v>0.7464612077056944</v>
      </c>
      <c r="F26" s="109" t="s">
        <v>393</v>
      </c>
      <c r="G26" s="109" t="b">
        <v>0</v>
      </c>
      <c r="H26" s="109" t="b">
        <v>0</v>
      </c>
      <c r="I26" s="109" t="b">
        <v>0</v>
      </c>
      <c r="J26" s="109" t="b">
        <v>0</v>
      </c>
      <c r="K26" s="109" t="b">
        <v>0</v>
      </c>
      <c r="L26" s="109" t="b">
        <v>0</v>
      </c>
    </row>
    <row r="27" spans="1:12" ht="15">
      <c r="A27" s="111" t="s">
        <v>372</v>
      </c>
      <c r="B27" s="109" t="s">
        <v>355</v>
      </c>
      <c r="C27" s="109">
        <v>3</v>
      </c>
      <c r="D27" s="113">
        <v>0.016812330648562815</v>
      </c>
      <c r="E27" s="113">
        <v>1.9225524667613758</v>
      </c>
      <c r="F27" s="109" t="s">
        <v>393</v>
      </c>
      <c r="G27" s="109" t="b">
        <v>0</v>
      </c>
      <c r="H27" s="109" t="b">
        <v>0</v>
      </c>
      <c r="I27" s="109" t="b">
        <v>0</v>
      </c>
      <c r="J27" s="109" t="b">
        <v>0</v>
      </c>
      <c r="K27" s="109" t="b">
        <v>0</v>
      </c>
      <c r="L27" s="109" t="b">
        <v>0</v>
      </c>
    </row>
    <row r="28" spans="1:12" ht="15">
      <c r="A28" s="111" t="s">
        <v>360</v>
      </c>
      <c r="B28" s="109" t="s">
        <v>353</v>
      </c>
      <c r="C28" s="109">
        <v>3</v>
      </c>
      <c r="D28" s="113">
        <v>0.016812330648562815</v>
      </c>
      <c r="E28" s="113">
        <v>1.9225524667613758</v>
      </c>
      <c r="F28" s="109" t="s">
        <v>393</v>
      </c>
      <c r="G28" s="109" t="b">
        <v>0</v>
      </c>
      <c r="H28" s="109" t="b">
        <v>0</v>
      </c>
      <c r="I28" s="109" t="b">
        <v>0</v>
      </c>
      <c r="J28" s="109" t="b">
        <v>0</v>
      </c>
      <c r="K28" s="109" t="b">
        <v>0</v>
      </c>
      <c r="L28" s="109" t="b">
        <v>0</v>
      </c>
    </row>
    <row r="29" spans="1:12" ht="15">
      <c r="A29" s="111" t="s">
        <v>377</v>
      </c>
      <c r="B29" s="109" t="s">
        <v>360</v>
      </c>
      <c r="C29" s="109">
        <v>3</v>
      </c>
      <c r="D29" s="113">
        <v>0.016812330648562815</v>
      </c>
      <c r="E29" s="113">
        <v>1.9225524667613758</v>
      </c>
      <c r="F29" s="109" t="s">
        <v>393</v>
      </c>
      <c r="G29" s="109" t="b">
        <v>0</v>
      </c>
      <c r="H29" s="109" t="b">
        <v>0</v>
      </c>
      <c r="I29" s="109" t="b">
        <v>0</v>
      </c>
      <c r="J29" s="109" t="b">
        <v>0</v>
      </c>
      <c r="K29" s="109" t="b">
        <v>0</v>
      </c>
      <c r="L29" s="109" t="b">
        <v>0</v>
      </c>
    </row>
    <row r="30" spans="1:12" ht="15">
      <c r="A30" s="111" t="s">
        <v>354</v>
      </c>
      <c r="B30" s="109" t="s">
        <v>347</v>
      </c>
      <c r="C30" s="109">
        <v>3</v>
      </c>
      <c r="D30" s="113">
        <v>0.016812330648562815</v>
      </c>
      <c r="E30" s="113">
        <v>1.9225524667613758</v>
      </c>
      <c r="F30" s="109" t="s">
        <v>393</v>
      </c>
      <c r="G30" s="109" t="b">
        <v>0</v>
      </c>
      <c r="H30" s="109" t="b">
        <v>0</v>
      </c>
      <c r="I30" s="109" t="b">
        <v>0</v>
      </c>
      <c r="J30" s="109" t="b">
        <v>0</v>
      </c>
      <c r="K30" s="109" t="b">
        <v>0</v>
      </c>
      <c r="L30" s="109" t="b">
        <v>0</v>
      </c>
    </row>
    <row r="31" spans="1:12" ht="15">
      <c r="A31" s="111" t="s">
        <v>334</v>
      </c>
      <c r="B31" s="109" t="s">
        <v>359</v>
      </c>
      <c r="C31" s="109">
        <v>3</v>
      </c>
      <c r="D31" s="113">
        <v>0.016812330648562815</v>
      </c>
      <c r="E31" s="113">
        <v>1.4454312120417132</v>
      </c>
      <c r="F31" s="109" t="s">
        <v>393</v>
      </c>
      <c r="G31" s="109" t="b">
        <v>0</v>
      </c>
      <c r="H31" s="109" t="b">
        <v>0</v>
      </c>
      <c r="I31" s="109" t="b">
        <v>0</v>
      </c>
      <c r="J31" s="109" t="b">
        <v>0</v>
      </c>
      <c r="K31" s="109" t="b">
        <v>0</v>
      </c>
      <c r="L31" s="109" t="b">
        <v>0</v>
      </c>
    </row>
    <row r="32" spans="1:12" ht="15">
      <c r="A32" s="111" t="s">
        <v>369</v>
      </c>
      <c r="B32" s="109" t="s">
        <v>364</v>
      </c>
      <c r="C32" s="109">
        <v>3</v>
      </c>
      <c r="D32" s="113">
        <v>0.016812330648562815</v>
      </c>
      <c r="E32" s="113">
        <v>1.9225524667613758</v>
      </c>
      <c r="F32" s="109" t="s">
        <v>393</v>
      </c>
      <c r="G32" s="109" t="b">
        <v>0</v>
      </c>
      <c r="H32" s="109" t="b">
        <v>0</v>
      </c>
      <c r="I32" s="109" t="b">
        <v>0</v>
      </c>
      <c r="J32" s="109" t="b">
        <v>0</v>
      </c>
      <c r="K32" s="109" t="b">
        <v>0</v>
      </c>
      <c r="L32" s="109" t="b">
        <v>0</v>
      </c>
    </row>
    <row r="33" spans="1:12" ht="15">
      <c r="A33" s="111" t="s">
        <v>379</v>
      </c>
      <c r="B33" s="109" t="s">
        <v>384</v>
      </c>
      <c r="C33" s="109">
        <v>2</v>
      </c>
      <c r="D33" s="113">
        <v>0.009167339105839745</v>
      </c>
      <c r="E33" s="113">
        <v>2.098643725817057</v>
      </c>
      <c r="F33" s="109" t="s">
        <v>393</v>
      </c>
      <c r="G33" s="109" t="b">
        <v>0</v>
      </c>
      <c r="H33" s="109" t="b">
        <v>0</v>
      </c>
      <c r="I33" s="109" t="b">
        <v>0</v>
      </c>
      <c r="J33" s="109" t="b">
        <v>0</v>
      </c>
      <c r="K33" s="109" t="b">
        <v>0</v>
      </c>
      <c r="L33" s="109" t="b">
        <v>0</v>
      </c>
    </row>
    <row r="34" spans="1:12" ht="15">
      <c r="A34" s="111" t="s">
        <v>365</v>
      </c>
      <c r="B34" s="109" t="s">
        <v>365</v>
      </c>
      <c r="C34" s="109">
        <v>2</v>
      </c>
      <c r="D34" s="113">
        <v>0.011208220432375212</v>
      </c>
      <c r="E34" s="113">
        <v>1.7464612077056945</v>
      </c>
      <c r="F34" s="109" t="s">
        <v>393</v>
      </c>
      <c r="G34" s="109" t="b">
        <v>0</v>
      </c>
      <c r="H34" s="109" t="b">
        <v>0</v>
      </c>
      <c r="I34" s="109" t="b">
        <v>0</v>
      </c>
      <c r="J34" s="109" t="b">
        <v>0</v>
      </c>
      <c r="K34" s="109" t="b">
        <v>0</v>
      </c>
      <c r="L34" s="109" t="b">
        <v>0</v>
      </c>
    </row>
    <row r="35" spans="1:12" ht="15">
      <c r="A35" s="111" t="s">
        <v>340</v>
      </c>
      <c r="B35" s="109" t="s">
        <v>337</v>
      </c>
      <c r="C35" s="109">
        <v>2</v>
      </c>
      <c r="D35" s="113">
        <v>0.009167339105839745</v>
      </c>
      <c r="E35" s="113">
        <v>0.9683099573220508</v>
      </c>
      <c r="F35" s="109" t="s">
        <v>393</v>
      </c>
      <c r="G35" s="109" t="b">
        <v>0</v>
      </c>
      <c r="H35" s="109" t="b">
        <v>0</v>
      </c>
      <c r="I35" s="109" t="b">
        <v>0</v>
      </c>
      <c r="J35" s="109" t="b">
        <v>0</v>
      </c>
      <c r="K35" s="109" t="b">
        <v>0</v>
      </c>
      <c r="L35" s="109" t="b">
        <v>0</v>
      </c>
    </row>
    <row r="36" spans="1:12" ht="15">
      <c r="A36" s="111" t="s">
        <v>355</v>
      </c>
      <c r="B36" s="109" t="s">
        <v>362</v>
      </c>
      <c r="C36" s="109">
        <v>2</v>
      </c>
      <c r="D36" s="113">
        <v>0.011208220432375212</v>
      </c>
      <c r="E36" s="113">
        <v>1.7464612077056945</v>
      </c>
      <c r="F36" s="109" t="s">
        <v>393</v>
      </c>
      <c r="G36" s="109" t="b">
        <v>0</v>
      </c>
      <c r="H36" s="109" t="b">
        <v>0</v>
      </c>
      <c r="I36" s="109" t="b">
        <v>0</v>
      </c>
      <c r="J36" s="109" t="b">
        <v>0</v>
      </c>
      <c r="K36" s="109" t="b">
        <v>0</v>
      </c>
      <c r="L36" s="109" t="b">
        <v>0</v>
      </c>
    </row>
    <row r="37" spans="1:12" ht="15">
      <c r="A37" s="111" t="s">
        <v>343</v>
      </c>
      <c r="B37" s="109" t="s">
        <v>383</v>
      </c>
      <c r="C37" s="109">
        <v>2</v>
      </c>
      <c r="D37" s="113">
        <v>0.011208220432375212</v>
      </c>
      <c r="E37" s="113">
        <v>1.7976137301530757</v>
      </c>
      <c r="F37" s="109" t="s">
        <v>393</v>
      </c>
      <c r="G37" s="109" t="b">
        <v>0</v>
      </c>
      <c r="H37" s="109" t="b">
        <v>0</v>
      </c>
      <c r="I37" s="109" t="b">
        <v>0</v>
      </c>
      <c r="J37" s="109" t="b">
        <v>0</v>
      </c>
      <c r="K37" s="109" t="b">
        <v>0</v>
      </c>
      <c r="L37" s="109" t="b">
        <v>0</v>
      </c>
    </row>
    <row r="38" spans="1:12" ht="15">
      <c r="A38" s="111" t="s">
        <v>341</v>
      </c>
      <c r="B38" s="109" t="s">
        <v>386</v>
      </c>
      <c r="C38" s="109">
        <v>2</v>
      </c>
      <c r="D38" s="113">
        <v>0.009167339105839745</v>
      </c>
      <c r="E38" s="113">
        <v>1.6215224710973946</v>
      </c>
      <c r="F38" s="109" t="s">
        <v>393</v>
      </c>
      <c r="G38" s="109" t="b">
        <v>0</v>
      </c>
      <c r="H38" s="109" t="b">
        <v>0</v>
      </c>
      <c r="I38" s="109" t="b">
        <v>0</v>
      </c>
      <c r="J38" s="109" t="b">
        <v>0</v>
      </c>
      <c r="K38" s="109" t="b">
        <v>0</v>
      </c>
      <c r="L38" s="109" t="b">
        <v>0</v>
      </c>
    </row>
    <row r="39" spans="1:12" ht="15">
      <c r="A39" s="111" t="s">
        <v>346</v>
      </c>
      <c r="B39" s="109" t="s">
        <v>335</v>
      </c>
      <c r="C39" s="109">
        <v>2</v>
      </c>
      <c r="D39" s="113">
        <v>0.011208220432375212</v>
      </c>
      <c r="E39" s="113">
        <v>1.269339952986032</v>
      </c>
      <c r="F39" s="109" t="s">
        <v>393</v>
      </c>
      <c r="G39" s="109" t="b">
        <v>0</v>
      </c>
      <c r="H39" s="109" t="b">
        <v>0</v>
      </c>
      <c r="I39" s="109" t="b">
        <v>0</v>
      </c>
      <c r="J39" s="109" t="b">
        <v>0</v>
      </c>
      <c r="K39" s="109" t="b">
        <v>0</v>
      </c>
      <c r="L39" s="109" t="b">
        <v>0</v>
      </c>
    </row>
    <row r="40" spans="1:12" ht="15">
      <c r="A40" s="111" t="s">
        <v>353</v>
      </c>
      <c r="B40" s="109" t="s">
        <v>375</v>
      </c>
      <c r="C40" s="109">
        <v>2</v>
      </c>
      <c r="D40" s="113">
        <v>0.011208220432375212</v>
      </c>
      <c r="E40" s="113">
        <v>1.7464612077056945</v>
      </c>
      <c r="F40" s="109" t="s">
        <v>393</v>
      </c>
      <c r="G40" s="109" t="b">
        <v>0</v>
      </c>
      <c r="H40" s="109" t="b">
        <v>0</v>
      </c>
      <c r="I40" s="109" t="b">
        <v>0</v>
      </c>
      <c r="J40" s="109" t="b">
        <v>0</v>
      </c>
      <c r="K40" s="109" t="b">
        <v>0</v>
      </c>
      <c r="L40" s="109" t="b">
        <v>0</v>
      </c>
    </row>
    <row r="41" spans="1:12" ht="15">
      <c r="A41" s="111" t="s">
        <v>383</v>
      </c>
      <c r="B41" s="109" t="s">
        <v>382</v>
      </c>
      <c r="C41" s="109">
        <v>2</v>
      </c>
      <c r="D41" s="113">
        <v>0.011208220432375212</v>
      </c>
      <c r="E41" s="113">
        <v>2.098643725817057</v>
      </c>
      <c r="F41" s="109" t="s">
        <v>393</v>
      </c>
      <c r="G41" s="109" t="b">
        <v>0</v>
      </c>
      <c r="H41" s="109" t="b">
        <v>0</v>
      </c>
      <c r="I41" s="109" t="b">
        <v>0</v>
      </c>
      <c r="J41" s="109" t="b">
        <v>0</v>
      </c>
      <c r="K41" s="109" t="b">
        <v>0</v>
      </c>
      <c r="L41" s="109" t="b">
        <v>0</v>
      </c>
    </row>
    <row r="42" spans="1:12" ht="15">
      <c r="A42" s="111" t="s">
        <v>373</v>
      </c>
      <c r="B42" s="109" t="s">
        <v>373</v>
      </c>
      <c r="C42" s="109">
        <v>2</v>
      </c>
      <c r="D42" s="113">
        <v>0.011208220432375212</v>
      </c>
      <c r="E42" s="113">
        <v>1.7464612077056945</v>
      </c>
      <c r="F42" s="109" t="s">
        <v>393</v>
      </c>
      <c r="G42" s="109" t="b">
        <v>0</v>
      </c>
      <c r="H42" s="109" t="b">
        <v>0</v>
      </c>
      <c r="I42" s="109" t="b">
        <v>0</v>
      </c>
      <c r="J42" s="109" t="b">
        <v>0</v>
      </c>
      <c r="K42" s="109" t="b">
        <v>0</v>
      </c>
      <c r="L42" s="109" t="b">
        <v>0</v>
      </c>
    </row>
    <row r="43" spans="1:12" ht="15">
      <c r="A43" s="111" t="s">
        <v>350</v>
      </c>
      <c r="B43" s="109" t="s">
        <v>350</v>
      </c>
      <c r="C43" s="109">
        <v>2</v>
      </c>
      <c r="D43" s="113">
        <v>0.011208220432375212</v>
      </c>
      <c r="E43" s="113">
        <v>1.7464612077056945</v>
      </c>
      <c r="F43" s="109" t="s">
        <v>393</v>
      </c>
      <c r="G43" s="109" t="b">
        <v>0</v>
      </c>
      <c r="H43" s="109" t="b">
        <v>0</v>
      </c>
      <c r="I43" s="109" t="b">
        <v>0</v>
      </c>
      <c r="J43" s="109" t="b">
        <v>0</v>
      </c>
      <c r="K43" s="109" t="b">
        <v>0</v>
      </c>
      <c r="L43" s="109" t="b">
        <v>0</v>
      </c>
    </row>
    <row r="44" spans="1:12" ht="15">
      <c r="A44" s="111" t="s">
        <v>378</v>
      </c>
      <c r="B44" s="109" t="s">
        <v>381</v>
      </c>
      <c r="C44" s="109">
        <v>2</v>
      </c>
      <c r="D44" s="113">
        <v>0.009167339105839745</v>
      </c>
      <c r="E44" s="113">
        <v>2.098643725817057</v>
      </c>
      <c r="F44" s="109" t="s">
        <v>393</v>
      </c>
      <c r="G44" s="109" t="b">
        <v>0</v>
      </c>
      <c r="H44" s="109" t="b">
        <v>0</v>
      </c>
      <c r="I44" s="109" t="b">
        <v>0</v>
      </c>
      <c r="J44" s="109" t="b">
        <v>0</v>
      </c>
      <c r="K44" s="109" t="b">
        <v>0</v>
      </c>
      <c r="L44" s="109" t="b">
        <v>0</v>
      </c>
    </row>
    <row r="45" spans="1:12" ht="15">
      <c r="A45" s="111" t="s">
        <v>380</v>
      </c>
      <c r="B45" s="109" t="s">
        <v>385</v>
      </c>
      <c r="C45" s="109">
        <v>2</v>
      </c>
      <c r="D45" s="113">
        <v>0.009167339105839745</v>
      </c>
      <c r="E45" s="113">
        <v>2.098643725817057</v>
      </c>
      <c r="F45" s="109" t="s">
        <v>393</v>
      </c>
      <c r="G45" s="109" t="b">
        <v>0</v>
      </c>
      <c r="H45" s="109" t="b">
        <v>0</v>
      </c>
      <c r="I45" s="109" t="b">
        <v>0</v>
      </c>
      <c r="J45" s="109" t="b">
        <v>0</v>
      </c>
      <c r="K45" s="109" t="b">
        <v>0</v>
      </c>
      <c r="L45" s="109" t="b">
        <v>0</v>
      </c>
    </row>
    <row r="46" spans="1:12" ht="15">
      <c r="A46" s="111" t="s">
        <v>376</v>
      </c>
      <c r="B46" s="109" t="s">
        <v>335</v>
      </c>
      <c r="C46" s="109">
        <v>2</v>
      </c>
      <c r="D46" s="113">
        <v>0.011208220432375212</v>
      </c>
      <c r="E46" s="113">
        <v>1.269339952986032</v>
      </c>
      <c r="F46" s="109" t="s">
        <v>393</v>
      </c>
      <c r="G46" s="109" t="b">
        <v>0</v>
      </c>
      <c r="H46" s="109" t="b">
        <v>0</v>
      </c>
      <c r="I46" s="109" t="b">
        <v>0</v>
      </c>
      <c r="J46" s="109" t="b">
        <v>0</v>
      </c>
      <c r="K46" s="109" t="b">
        <v>0</v>
      </c>
      <c r="L46" s="109" t="b">
        <v>0</v>
      </c>
    </row>
    <row r="47" spans="1:12" ht="15">
      <c r="A47" s="111" t="s">
        <v>364</v>
      </c>
      <c r="B47" s="109" t="s">
        <v>368</v>
      </c>
      <c r="C47" s="109">
        <v>2</v>
      </c>
      <c r="D47" s="113">
        <v>0.011208220432375212</v>
      </c>
      <c r="E47" s="113">
        <v>1.7464612077056945</v>
      </c>
      <c r="F47" s="109" t="s">
        <v>393</v>
      </c>
      <c r="G47" s="109" t="b">
        <v>0</v>
      </c>
      <c r="H47" s="109" t="b">
        <v>0</v>
      </c>
      <c r="I47" s="109" t="b">
        <v>0</v>
      </c>
      <c r="J47" s="109" t="b">
        <v>0</v>
      </c>
      <c r="K47" s="109" t="b">
        <v>0</v>
      </c>
      <c r="L47" s="109" t="b">
        <v>0</v>
      </c>
    </row>
    <row r="48" spans="1:12" ht="15">
      <c r="A48" s="111" t="s">
        <v>343</v>
      </c>
      <c r="B48" s="109" t="s">
        <v>343</v>
      </c>
      <c r="C48" s="109">
        <v>2</v>
      </c>
      <c r="D48" s="113">
        <v>0.011208220432375212</v>
      </c>
      <c r="E48" s="113">
        <v>1.4965837344890947</v>
      </c>
      <c r="F48" s="109" t="s">
        <v>393</v>
      </c>
      <c r="G48" s="109" t="b">
        <v>0</v>
      </c>
      <c r="H48" s="109" t="b">
        <v>0</v>
      </c>
      <c r="I48" s="109" t="b">
        <v>0</v>
      </c>
      <c r="J48" s="109" t="b">
        <v>0</v>
      </c>
      <c r="K48" s="109" t="b">
        <v>0</v>
      </c>
      <c r="L48" s="109" t="b">
        <v>0</v>
      </c>
    </row>
    <row r="49" spans="1:12" ht="15">
      <c r="A49" s="111" t="s">
        <v>367</v>
      </c>
      <c r="B49" s="109" t="s">
        <v>361</v>
      </c>
      <c r="C49" s="109">
        <v>2</v>
      </c>
      <c r="D49" s="113">
        <v>0.011208220432375212</v>
      </c>
      <c r="E49" s="113">
        <v>1.9225524667613756</v>
      </c>
      <c r="F49" s="109" t="s">
        <v>393</v>
      </c>
      <c r="G49" s="109" t="b">
        <v>0</v>
      </c>
      <c r="H49" s="109" t="b">
        <v>0</v>
      </c>
      <c r="I49" s="109" t="b">
        <v>0</v>
      </c>
      <c r="J49" s="109" t="b">
        <v>0</v>
      </c>
      <c r="K49" s="109" t="b">
        <v>0</v>
      </c>
      <c r="L49" s="109" t="b">
        <v>0</v>
      </c>
    </row>
    <row r="50" spans="1:12" ht="15">
      <c r="A50" s="111" t="s">
        <v>352</v>
      </c>
      <c r="B50" s="109" t="s">
        <v>335</v>
      </c>
      <c r="C50" s="109">
        <v>2</v>
      </c>
      <c r="D50" s="113">
        <v>0.011208220432375212</v>
      </c>
      <c r="E50" s="113">
        <v>1.269339952986032</v>
      </c>
      <c r="F50" s="109" t="s">
        <v>393</v>
      </c>
      <c r="G50" s="109" t="b">
        <v>0</v>
      </c>
      <c r="H50" s="109" t="b">
        <v>0</v>
      </c>
      <c r="I50" s="109" t="b">
        <v>0</v>
      </c>
      <c r="J50" s="109" t="b">
        <v>0</v>
      </c>
      <c r="K50" s="109" t="b">
        <v>0</v>
      </c>
      <c r="L50" s="109" t="b">
        <v>0</v>
      </c>
    </row>
    <row r="51" spans="1:12" ht="15">
      <c r="A51" s="111" t="s">
        <v>357</v>
      </c>
      <c r="B51" s="109" t="s">
        <v>366</v>
      </c>
      <c r="C51" s="109">
        <v>2</v>
      </c>
      <c r="D51" s="113">
        <v>0.011208220432375212</v>
      </c>
      <c r="E51" s="113">
        <v>1.7464612077056945</v>
      </c>
      <c r="F51" s="109" t="s">
        <v>393</v>
      </c>
      <c r="G51" s="109" t="b">
        <v>0</v>
      </c>
      <c r="H51" s="109" t="b">
        <v>0</v>
      </c>
      <c r="I51" s="109" t="b">
        <v>0</v>
      </c>
      <c r="J51" s="109" t="b">
        <v>0</v>
      </c>
      <c r="K51" s="109" t="b">
        <v>0</v>
      </c>
      <c r="L51" s="109" t="b">
        <v>0</v>
      </c>
    </row>
    <row r="52" spans="1:12" ht="15">
      <c r="A52" s="111" t="s">
        <v>342</v>
      </c>
      <c r="B52" s="109" t="s">
        <v>356</v>
      </c>
      <c r="C52" s="109">
        <v>2</v>
      </c>
      <c r="D52" s="113">
        <v>0.009167339105839745</v>
      </c>
      <c r="E52" s="113">
        <v>1.6215224710973946</v>
      </c>
      <c r="F52" s="109" t="s">
        <v>393</v>
      </c>
      <c r="G52" s="109" t="b">
        <v>0</v>
      </c>
      <c r="H52" s="109" t="b">
        <v>0</v>
      </c>
      <c r="I52" s="109" t="b">
        <v>0</v>
      </c>
      <c r="J52" s="109" t="b">
        <v>0</v>
      </c>
      <c r="K52" s="109" t="b">
        <v>0</v>
      </c>
      <c r="L52" s="109" t="b">
        <v>0</v>
      </c>
    </row>
    <row r="53" spans="1:12" ht="15">
      <c r="A53" s="111" t="s">
        <v>333</v>
      </c>
      <c r="B53" s="109" t="s">
        <v>332</v>
      </c>
      <c r="C53" s="109">
        <v>3</v>
      </c>
      <c r="D53" s="113">
        <v>0.03180808364797749</v>
      </c>
      <c r="E53" s="113">
        <v>0.9542425094393249</v>
      </c>
      <c r="F53" s="109" t="s">
        <v>310</v>
      </c>
      <c r="G53" s="109" t="b">
        <v>0</v>
      </c>
      <c r="H53" s="109" t="b">
        <v>0</v>
      </c>
      <c r="I53" s="109" t="b">
        <v>0</v>
      </c>
      <c r="J53" s="109" t="b">
        <v>0</v>
      </c>
      <c r="K53" s="109" t="b">
        <v>0</v>
      </c>
      <c r="L53" s="109" t="b">
        <v>0</v>
      </c>
    </row>
    <row r="54" spans="1:12" ht="15">
      <c r="A54" s="111" t="s">
        <v>334</v>
      </c>
      <c r="B54" s="109" t="s">
        <v>371</v>
      </c>
      <c r="C54" s="109">
        <v>3</v>
      </c>
      <c r="D54" s="113">
        <v>0.06361616729595498</v>
      </c>
      <c r="E54" s="113">
        <v>1.0791812460476249</v>
      </c>
      <c r="F54" s="109" t="s">
        <v>310</v>
      </c>
      <c r="G54" s="109" t="b">
        <v>0</v>
      </c>
      <c r="H54" s="109" t="b">
        <v>0</v>
      </c>
      <c r="I54" s="109" t="b">
        <v>0</v>
      </c>
      <c r="J54" s="109" t="b">
        <v>0</v>
      </c>
      <c r="K54" s="109" t="b">
        <v>0</v>
      </c>
      <c r="L54" s="109" t="b">
        <v>0</v>
      </c>
    </row>
    <row r="55" spans="1:12" ht="15">
      <c r="A55" s="111" t="s">
        <v>371</v>
      </c>
      <c r="B55" s="109" t="s">
        <v>352</v>
      </c>
      <c r="C55" s="109">
        <v>3</v>
      </c>
      <c r="D55" s="113">
        <v>0.06361616729595498</v>
      </c>
      <c r="E55" s="113">
        <v>1.0791812460476249</v>
      </c>
      <c r="F55" s="109" t="s">
        <v>310</v>
      </c>
      <c r="G55" s="109" t="b">
        <v>0</v>
      </c>
      <c r="H55" s="109" t="b">
        <v>0</v>
      </c>
      <c r="I55" s="109" t="b">
        <v>0</v>
      </c>
      <c r="J55" s="109" t="b">
        <v>0</v>
      </c>
      <c r="K55" s="109" t="b">
        <v>0</v>
      </c>
      <c r="L55" s="109" t="b">
        <v>0</v>
      </c>
    </row>
    <row r="56" spans="1:12" ht="15">
      <c r="A56" s="111" t="s">
        <v>335</v>
      </c>
      <c r="B56" s="109" t="s">
        <v>334</v>
      </c>
      <c r="C56" s="109">
        <v>3</v>
      </c>
      <c r="D56" s="113">
        <v>0.06361616729595498</v>
      </c>
      <c r="E56" s="113">
        <v>1.0791812460476249</v>
      </c>
      <c r="F56" s="109" t="s">
        <v>310</v>
      </c>
      <c r="G56" s="109" t="b">
        <v>0</v>
      </c>
      <c r="H56" s="109" t="b">
        <v>0</v>
      </c>
      <c r="I56" s="109" t="b">
        <v>0</v>
      </c>
      <c r="J56" s="109" t="b">
        <v>0</v>
      </c>
      <c r="K56" s="109" t="b">
        <v>0</v>
      </c>
      <c r="L56" s="109" t="b">
        <v>0</v>
      </c>
    </row>
    <row r="57" spans="1:12" ht="15">
      <c r="A57" s="111" t="s">
        <v>373</v>
      </c>
      <c r="B57" s="109" t="s">
        <v>373</v>
      </c>
      <c r="C57" s="109">
        <v>2</v>
      </c>
      <c r="D57" s="113">
        <v>0.04241077819730333</v>
      </c>
      <c r="E57" s="113">
        <v>0.9030899869919435</v>
      </c>
      <c r="F57" s="109" t="s">
        <v>310</v>
      </c>
      <c r="G57" s="109" t="b">
        <v>0</v>
      </c>
      <c r="H57" s="109" t="b">
        <v>0</v>
      </c>
      <c r="I57" s="109" t="b">
        <v>0</v>
      </c>
      <c r="J57" s="109" t="b">
        <v>0</v>
      </c>
      <c r="K57" s="109" t="b">
        <v>0</v>
      </c>
      <c r="L57" s="109" t="b">
        <v>0</v>
      </c>
    </row>
    <row r="58" spans="1:12" ht="15">
      <c r="A58" s="111" t="s">
        <v>378</v>
      </c>
      <c r="B58" s="109" t="s">
        <v>381</v>
      </c>
      <c r="C58" s="109">
        <v>2</v>
      </c>
      <c r="D58" s="113">
        <v>0.029031667278904168</v>
      </c>
      <c r="E58" s="113">
        <v>1.255272505103306</v>
      </c>
      <c r="F58" s="109" t="s">
        <v>310</v>
      </c>
      <c r="G58" s="109" t="b">
        <v>0</v>
      </c>
      <c r="H58" s="109" t="b">
        <v>0</v>
      </c>
      <c r="I58" s="109" t="b">
        <v>0</v>
      </c>
      <c r="J58" s="109" t="b">
        <v>0</v>
      </c>
      <c r="K58" s="109" t="b">
        <v>0</v>
      </c>
      <c r="L58" s="109" t="b">
        <v>0</v>
      </c>
    </row>
    <row r="59" spans="1:12" ht="15">
      <c r="A59" s="111" t="s">
        <v>352</v>
      </c>
      <c r="B59" s="109" t="s">
        <v>335</v>
      </c>
      <c r="C59" s="109">
        <v>2</v>
      </c>
      <c r="D59" s="113">
        <v>0.04241077819730333</v>
      </c>
      <c r="E59" s="113">
        <v>0.9030899869919435</v>
      </c>
      <c r="F59" s="109" t="s">
        <v>310</v>
      </c>
      <c r="G59" s="109" t="b">
        <v>0</v>
      </c>
      <c r="H59" s="109" t="b">
        <v>0</v>
      </c>
      <c r="I59" s="109" t="b">
        <v>0</v>
      </c>
      <c r="J59" s="109" t="b">
        <v>0</v>
      </c>
      <c r="K59" s="109" t="b">
        <v>0</v>
      </c>
      <c r="L59" s="109" t="b">
        <v>0</v>
      </c>
    </row>
    <row r="60" spans="1:12" ht="15">
      <c r="A60" s="111" t="s">
        <v>380</v>
      </c>
      <c r="B60" s="109" t="s">
        <v>385</v>
      </c>
      <c r="C60" s="109">
        <v>2</v>
      </c>
      <c r="D60" s="113">
        <v>0.029031667278904168</v>
      </c>
      <c r="E60" s="113">
        <v>1.255272505103306</v>
      </c>
      <c r="F60" s="109" t="s">
        <v>310</v>
      </c>
      <c r="G60" s="109" t="b">
        <v>0</v>
      </c>
      <c r="H60" s="109" t="b">
        <v>0</v>
      </c>
      <c r="I60" s="109" t="b">
        <v>0</v>
      </c>
      <c r="J60" s="109" t="b">
        <v>0</v>
      </c>
      <c r="K60" s="109" t="b">
        <v>0</v>
      </c>
      <c r="L60" s="109" t="b">
        <v>0</v>
      </c>
    </row>
    <row r="61" spans="1:12" ht="15">
      <c r="A61" s="111" t="s">
        <v>350</v>
      </c>
      <c r="B61" s="109" t="s">
        <v>350</v>
      </c>
      <c r="C61" s="109">
        <v>2</v>
      </c>
      <c r="D61" s="113">
        <v>0.04241077819730333</v>
      </c>
      <c r="E61" s="113">
        <v>0.9030899869919435</v>
      </c>
      <c r="F61" s="109" t="s">
        <v>310</v>
      </c>
      <c r="G61" s="109" t="b">
        <v>0</v>
      </c>
      <c r="H61" s="109" t="b">
        <v>0</v>
      </c>
      <c r="I61" s="109" t="b">
        <v>0</v>
      </c>
      <c r="J61" s="109" t="b">
        <v>0</v>
      </c>
      <c r="K61" s="109" t="b">
        <v>0</v>
      </c>
      <c r="L61" s="109" t="b">
        <v>0</v>
      </c>
    </row>
    <row r="62" spans="1:12" ht="15">
      <c r="A62" s="111" t="s">
        <v>365</v>
      </c>
      <c r="B62" s="109" t="s">
        <v>365</v>
      </c>
      <c r="C62" s="109">
        <v>2</v>
      </c>
      <c r="D62" s="113">
        <v>0.04241077819730333</v>
      </c>
      <c r="E62" s="113">
        <v>0.9030899869919435</v>
      </c>
      <c r="F62" s="109" t="s">
        <v>310</v>
      </c>
      <c r="G62" s="109" t="b">
        <v>0</v>
      </c>
      <c r="H62" s="109" t="b">
        <v>0</v>
      </c>
      <c r="I62" s="109" t="b">
        <v>0</v>
      </c>
      <c r="J62" s="109" t="b">
        <v>0</v>
      </c>
      <c r="K62" s="109" t="b">
        <v>0</v>
      </c>
      <c r="L62" s="109" t="b">
        <v>0</v>
      </c>
    </row>
    <row r="63" spans="1:12" ht="15">
      <c r="A63" s="111" t="s">
        <v>345</v>
      </c>
      <c r="B63" s="109" t="s">
        <v>342</v>
      </c>
      <c r="C63" s="109">
        <v>3</v>
      </c>
      <c r="D63" s="113">
        <v>0.03766746747786808</v>
      </c>
      <c r="E63" s="113">
        <v>0.9999999999999999</v>
      </c>
      <c r="F63" s="109" t="s">
        <v>311</v>
      </c>
      <c r="G63" s="109" t="b">
        <v>0</v>
      </c>
      <c r="H63" s="109" t="b">
        <v>0</v>
      </c>
      <c r="I63" s="109" t="b">
        <v>0</v>
      </c>
      <c r="J63" s="109" t="b">
        <v>0</v>
      </c>
      <c r="K63" s="109" t="b">
        <v>0</v>
      </c>
      <c r="L63" s="109" t="b">
        <v>0</v>
      </c>
    </row>
    <row r="64" spans="1:12" ht="15">
      <c r="A64" s="111" t="s">
        <v>342</v>
      </c>
      <c r="B64" s="109" t="s">
        <v>356</v>
      </c>
      <c r="C64" s="109">
        <v>2</v>
      </c>
      <c r="D64" s="113">
        <v>0.034379605988175986</v>
      </c>
      <c r="E64" s="113">
        <v>1</v>
      </c>
      <c r="F64" s="109" t="s">
        <v>311</v>
      </c>
      <c r="G64" s="109" t="b">
        <v>0</v>
      </c>
      <c r="H64" s="109" t="b">
        <v>0</v>
      </c>
      <c r="I64" s="109" t="b">
        <v>0</v>
      </c>
      <c r="J64" s="109" t="b">
        <v>0</v>
      </c>
      <c r="K64" s="109" t="b">
        <v>0</v>
      </c>
      <c r="L64" s="109" t="b">
        <v>0</v>
      </c>
    </row>
    <row r="65" spans="1:12" ht="15">
      <c r="A65" s="111" t="s">
        <v>332</v>
      </c>
      <c r="B65" s="109" t="s">
        <v>340</v>
      </c>
      <c r="C65" s="109">
        <v>4</v>
      </c>
      <c r="D65" s="113">
        <v>0.01829609235273736</v>
      </c>
      <c r="E65" s="113">
        <v>1.2844307338445196</v>
      </c>
      <c r="F65" s="109" t="s">
        <v>312</v>
      </c>
      <c r="G65" s="109" t="b">
        <v>0</v>
      </c>
      <c r="H65" s="109" t="b">
        <v>0</v>
      </c>
      <c r="I65" s="109" t="b">
        <v>0</v>
      </c>
      <c r="J65" s="109" t="b">
        <v>0</v>
      </c>
      <c r="K65" s="109" t="b">
        <v>0</v>
      </c>
      <c r="L65" s="109" t="b">
        <v>0</v>
      </c>
    </row>
    <row r="66" spans="1:12" ht="15">
      <c r="A66" s="111" t="s">
        <v>333</v>
      </c>
      <c r="B66" s="109" t="s">
        <v>332</v>
      </c>
      <c r="C66" s="109">
        <v>4</v>
      </c>
      <c r="D66" s="113">
        <v>0.01829609235273736</v>
      </c>
      <c r="E66" s="113">
        <v>1.2844307338445196</v>
      </c>
      <c r="F66" s="109" t="s">
        <v>312</v>
      </c>
      <c r="G66" s="109" t="b">
        <v>0</v>
      </c>
      <c r="H66" s="109" t="b">
        <v>0</v>
      </c>
      <c r="I66" s="109" t="b">
        <v>0</v>
      </c>
      <c r="J66" s="109" t="b">
        <v>0</v>
      </c>
      <c r="K66" s="109" t="b">
        <v>0</v>
      </c>
      <c r="L66" s="109" t="b">
        <v>0</v>
      </c>
    </row>
    <row r="67" spans="1:12" ht="15">
      <c r="A67" s="111" t="s">
        <v>374</v>
      </c>
      <c r="B67" s="109" t="s">
        <v>357</v>
      </c>
      <c r="C67" s="109">
        <v>3</v>
      </c>
      <c r="D67" s="113">
        <v>0.034482758620689655</v>
      </c>
      <c r="E67" s="113">
        <v>1.4093694704528195</v>
      </c>
      <c r="F67" s="109" t="s">
        <v>312</v>
      </c>
      <c r="G67" s="109" t="b">
        <v>0</v>
      </c>
      <c r="H67" s="109" t="b">
        <v>0</v>
      </c>
      <c r="I67" s="109" t="b">
        <v>0</v>
      </c>
      <c r="J67" s="109" t="b">
        <v>0</v>
      </c>
      <c r="K67" s="109" t="b">
        <v>0</v>
      </c>
      <c r="L67" s="109" t="b">
        <v>0</v>
      </c>
    </row>
    <row r="68" spans="1:12" ht="15">
      <c r="A68" s="111" t="s">
        <v>377</v>
      </c>
      <c r="B68" s="109" t="s">
        <v>360</v>
      </c>
      <c r="C68" s="109">
        <v>3</v>
      </c>
      <c r="D68" s="113">
        <v>0.034482758620689655</v>
      </c>
      <c r="E68" s="113">
        <v>1.4093694704528195</v>
      </c>
      <c r="F68" s="109" t="s">
        <v>312</v>
      </c>
      <c r="G68" s="109" t="b">
        <v>0</v>
      </c>
      <c r="H68" s="109" t="b">
        <v>0</v>
      </c>
      <c r="I68" s="109" t="b">
        <v>0</v>
      </c>
      <c r="J68" s="109" t="b">
        <v>0</v>
      </c>
      <c r="K68" s="109" t="b">
        <v>0</v>
      </c>
      <c r="L68" s="109" t="b">
        <v>0</v>
      </c>
    </row>
    <row r="69" spans="1:12" ht="15">
      <c r="A69" s="111" t="s">
        <v>363</v>
      </c>
      <c r="B69" s="109" t="s">
        <v>374</v>
      </c>
      <c r="C69" s="109">
        <v>3</v>
      </c>
      <c r="D69" s="113">
        <v>0.034482758620689655</v>
      </c>
      <c r="E69" s="113">
        <v>1.4093694704528195</v>
      </c>
      <c r="F69" s="109" t="s">
        <v>312</v>
      </c>
      <c r="G69" s="109" t="b">
        <v>0</v>
      </c>
      <c r="H69" s="109" t="b">
        <v>0</v>
      </c>
      <c r="I69" s="109" t="b">
        <v>0</v>
      </c>
      <c r="J69" s="109" t="b">
        <v>0</v>
      </c>
      <c r="K69" s="109" t="b">
        <v>0</v>
      </c>
      <c r="L69" s="109" t="b">
        <v>0</v>
      </c>
    </row>
    <row r="70" spans="1:12" ht="15">
      <c r="A70" s="111" t="s">
        <v>366</v>
      </c>
      <c r="B70" s="109" t="s">
        <v>363</v>
      </c>
      <c r="C70" s="109">
        <v>3</v>
      </c>
      <c r="D70" s="113">
        <v>0.034482758620689655</v>
      </c>
      <c r="E70" s="113">
        <v>1.4093694704528195</v>
      </c>
      <c r="F70" s="109" t="s">
        <v>312</v>
      </c>
      <c r="G70" s="109" t="b">
        <v>0</v>
      </c>
      <c r="H70" s="109" t="b">
        <v>0</v>
      </c>
      <c r="I70" s="109" t="b">
        <v>0</v>
      </c>
      <c r="J70" s="109" t="b">
        <v>0</v>
      </c>
      <c r="K70" s="109" t="b">
        <v>0</v>
      </c>
      <c r="L70" s="109" t="b">
        <v>0</v>
      </c>
    </row>
    <row r="71" spans="1:12" ht="15">
      <c r="A71" s="111" t="s">
        <v>370</v>
      </c>
      <c r="B71" s="109" t="s">
        <v>372</v>
      </c>
      <c r="C71" s="109">
        <v>3</v>
      </c>
      <c r="D71" s="113">
        <v>0.034482758620689655</v>
      </c>
      <c r="E71" s="113">
        <v>1.4093694704528195</v>
      </c>
      <c r="F71" s="109" t="s">
        <v>312</v>
      </c>
      <c r="G71" s="109" t="b">
        <v>0</v>
      </c>
      <c r="H71" s="109" t="b">
        <v>0</v>
      </c>
      <c r="I71" s="109" t="b">
        <v>0</v>
      </c>
      <c r="J71" s="109" t="b">
        <v>0</v>
      </c>
      <c r="K71" s="109" t="b">
        <v>0</v>
      </c>
      <c r="L71" s="109" t="b">
        <v>0</v>
      </c>
    </row>
    <row r="72" spans="1:12" ht="15">
      <c r="A72" s="111" t="s">
        <v>368</v>
      </c>
      <c r="B72" s="109" t="s">
        <v>358</v>
      </c>
      <c r="C72" s="109">
        <v>3</v>
      </c>
      <c r="D72" s="113">
        <v>0.034482758620689655</v>
      </c>
      <c r="E72" s="113">
        <v>1.4093694704528195</v>
      </c>
      <c r="F72" s="109" t="s">
        <v>312</v>
      </c>
      <c r="G72" s="109" t="b">
        <v>0</v>
      </c>
      <c r="H72" s="109" t="b">
        <v>0</v>
      </c>
      <c r="I72" s="109" t="b">
        <v>0</v>
      </c>
      <c r="J72" s="109" t="b">
        <v>0</v>
      </c>
      <c r="K72" s="109" t="b">
        <v>0</v>
      </c>
      <c r="L72" s="109" t="b">
        <v>0</v>
      </c>
    </row>
    <row r="73" spans="1:12" ht="15">
      <c r="A73" s="111" t="s">
        <v>360</v>
      </c>
      <c r="B73" s="109" t="s">
        <v>353</v>
      </c>
      <c r="C73" s="109">
        <v>3</v>
      </c>
      <c r="D73" s="113">
        <v>0.034482758620689655</v>
      </c>
      <c r="E73" s="113">
        <v>1.4093694704528195</v>
      </c>
      <c r="F73" s="109" t="s">
        <v>312</v>
      </c>
      <c r="G73" s="109" t="b">
        <v>0</v>
      </c>
      <c r="H73" s="109" t="b">
        <v>0</v>
      </c>
      <c r="I73" s="109" t="b">
        <v>0</v>
      </c>
      <c r="J73" s="109" t="b">
        <v>0</v>
      </c>
      <c r="K73" s="109" t="b">
        <v>0</v>
      </c>
      <c r="L73" s="109" t="b">
        <v>0</v>
      </c>
    </row>
    <row r="74" spans="1:12" ht="15">
      <c r="A74" s="111" t="s">
        <v>362</v>
      </c>
      <c r="B74" s="109" t="s">
        <v>370</v>
      </c>
      <c r="C74" s="109">
        <v>3</v>
      </c>
      <c r="D74" s="113">
        <v>0.034482758620689655</v>
      </c>
      <c r="E74" s="113">
        <v>1.4093694704528195</v>
      </c>
      <c r="F74" s="109" t="s">
        <v>312</v>
      </c>
      <c r="G74" s="109" t="b">
        <v>0</v>
      </c>
      <c r="H74" s="109" t="b">
        <v>0</v>
      </c>
      <c r="I74" s="109" t="b">
        <v>0</v>
      </c>
      <c r="J74" s="109" t="b">
        <v>0</v>
      </c>
      <c r="K74" s="109" t="b">
        <v>0</v>
      </c>
      <c r="L74" s="109" t="b">
        <v>0</v>
      </c>
    </row>
    <row r="75" spans="1:12" ht="15">
      <c r="A75" s="111" t="s">
        <v>372</v>
      </c>
      <c r="B75" s="109" t="s">
        <v>355</v>
      </c>
      <c r="C75" s="109">
        <v>3</v>
      </c>
      <c r="D75" s="113">
        <v>0.034482758620689655</v>
      </c>
      <c r="E75" s="113">
        <v>1.4093694704528195</v>
      </c>
      <c r="F75" s="109" t="s">
        <v>312</v>
      </c>
      <c r="G75" s="109" t="b">
        <v>0</v>
      </c>
      <c r="H75" s="109" t="b">
        <v>0</v>
      </c>
      <c r="I75" s="109" t="b">
        <v>0</v>
      </c>
      <c r="J75" s="109" t="b">
        <v>0</v>
      </c>
      <c r="K75" s="109" t="b">
        <v>0</v>
      </c>
      <c r="L75" s="109" t="b">
        <v>0</v>
      </c>
    </row>
    <row r="76" spans="1:12" ht="15">
      <c r="A76" s="111" t="s">
        <v>369</v>
      </c>
      <c r="B76" s="109" t="s">
        <v>364</v>
      </c>
      <c r="C76" s="109">
        <v>3</v>
      </c>
      <c r="D76" s="113">
        <v>0.034482758620689655</v>
      </c>
      <c r="E76" s="113">
        <v>1.4093694704528195</v>
      </c>
      <c r="F76" s="109" t="s">
        <v>312</v>
      </c>
      <c r="G76" s="109" t="b">
        <v>0</v>
      </c>
      <c r="H76" s="109" t="b">
        <v>0</v>
      </c>
      <c r="I76" s="109" t="b">
        <v>0</v>
      </c>
      <c r="J76" s="109" t="b">
        <v>0</v>
      </c>
      <c r="K76" s="109" t="b">
        <v>0</v>
      </c>
      <c r="L76" s="109" t="b">
        <v>0</v>
      </c>
    </row>
    <row r="77" spans="1:12" ht="15">
      <c r="A77" s="111" t="s">
        <v>358</v>
      </c>
      <c r="B77" s="109" t="s">
        <v>369</v>
      </c>
      <c r="C77" s="109">
        <v>3</v>
      </c>
      <c r="D77" s="113">
        <v>0.034482758620689655</v>
      </c>
      <c r="E77" s="113">
        <v>1.4093694704528195</v>
      </c>
      <c r="F77" s="109" t="s">
        <v>312</v>
      </c>
      <c r="G77" s="109" t="b">
        <v>0</v>
      </c>
      <c r="H77" s="109" t="b">
        <v>0</v>
      </c>
      <c r="I77" s="109" t="b">
        <v>0</v>
      </c>
      <c r="J77" s="109" t="b">
        <v>0</v>
      </c>
      <c r="K77" s="109" t="b">
        <v>0</v>
      </c>
      <c r="L77" s="109" t="b">
        <v>0</v>
      </c>
    </row>
    <row r="78" spans="1:12" ht="15">
      <c r="A78" s="111" t="s">
        <v>375</v>
      </c>
      <c r="B78" s="109" t="s">
        <v>377</v>
      </c>
      <c r="C78" s="109">
        <v>3</v>
      </c>
      <c r="D78" s="113">
        <v>0.034482758620689655</v>
      </c>
      <c r="E78" s="113">
        <v>1.4093694704528195</v>
      </c>
      <c r="F78" s="109" t="s">
        <v>312</v>
      </c>
      <c r="G78" s="109" t="b">
        <v>0</v>
      </c>
      <c r="H78" s="109" t="b">
        <v>0</v>
      </c>
      <c r="I78" s="109" t="b">
        <v>0</v>
      </c>
      <c r="J78" s="109" t="b">
        <v>0</v>
      </c>
      <c r="K78" s="109" t="b">
        <v>0</v>
      </c>
      <c r="L78" s="109" t="b">
        <v>0</v>
      </c>
    </row>
    <row r="79" spans="1:12" ht="15">
      <c r="A79" s="111" t="s">
        <v>353</v>
      </c>
      <c r="B79" s="109" t="s">
        <v>375</v>
      </c>
      <c r="C79" s="109">
        <v>2</v>
      </c>
      <c r="D79" s="113">
        <v>0.022988505747126436</v>
      </c>
      <c r="E79" s="113">
        <v>1.2332782113971381</v>
      </c>
      <c r="F79" s="109" t="s">
        <v>312</v>
      </c>
      <c r="G79" s="109" t="b">
        <v>0</v>
      </c>
      <c r="H79" s="109" t="b">
        <v>0</v>
      </c>
      <c r="I79" s="109" t="b">
        <v>0</v>
      </c>
      <c r="J79" s="109" t="b">
        <v>0</v>
      </c>
      <c r="K79" s="109" t="b">
        <v>0</v>
      </c>
      <c r="L79" s="109" t="b">
        <v>0</v>
      </c>
    </row>
    <row r="80" spans="1:12" ht="15">
      <c r="A80" s="111" t="s">
        <v>364</v>
      </c>
      <c r="B80" s="109" t="s">
        <v>368</v>
      </c>
      <c r="C80" s="109">
        <v>2</v>
      </c>
      <c r="D80" s="113">
        <v>0.022988505747126436</v>
      </c>
      <c r="E80" s="113">
        <v>1.2332782113971381</v>
      </c>
      <c r="F80" s="109" t="s">
        <v>312</v>
      </c>
      <c r="G80" s="109" t="b">
        <v>0</v>
      </c>
      <c r="H80" s="109" t="b">
        <v>0</v>
      </c>
      <c r="I80" s="109" t="b">
        <v>0</v>
      </c>
      <c r="J80" s="109" t="b">
        <v>0</v>
      </c>
      <c r="K80" s="109" t="b">
        <v>0</v>
      </c>
      <c r="L80" s="109" t="b">
        <v>0</v>
      </c>
    </row>
    <row r="81" spans="1:12" ht="15">
      <c r="A81" s="111" t="s">
        <v>355</v>
      </c>
      <c r="B81" s="109" t="s">
        <v>362</v>
      </c>
      <c r="C81" s="109">
        <v>2</v>
      </c>
      <c r="D81" s="113">
        <v>0.022988505747126436</v>
      </c>
      <c r="E81" s="113">
        <v>1.2332782113971381</v>
      </c>
      <c r="F81" s="109" t="s">
        <v>312</v>
      </c>
      <c r="G81" s="109" t="b">
        <v>0</v>
      </c>
      <c r="H81" s="109" t="b">
        <v>0</v>
      </c>
      <c r="I81" s="109" t="b">
        <v>0</v>
      </c>
      <c r="J81" s="109" t="b">
        <v>0</v>
      </c>
      <c r="K81" s="109" t="b">
        <v>0</v>
      </c>
      <c r="L81" s="109" t="b">
        <v>0</v>
      </c>
    </row>
    <row r="82" spans="1:12" ht="15">
      <c r="A82" s="111" t="s">
        <v>357</v>
      </c>
      <c r="B82" s="109" t="s">
        <v>366</v>
      </c>
      <c r="C82" s="109">
        <v>2</v>
      </c>
      <c r="D82" s="113">
        <v>0.022988505747126436</v>
      </c>
      <c r="E82" s="113">
        <v>1.2332782113971381</v>
      </c>
      <c r="F82" s="109" t="s">
        <v>312</v>
      </c>
      <c r="G82" s="109" t="b">
        <v>0</v>
      </c>
      <c r="H82" s="109" t="b">
        <v>0</v>
      </c>
      <c r="I82" s="109" t="b">
        <v>0</v>
      </c>
      <c r="J82" s="109" t="b">
        <v>0</v>
      </c>
      <c r="K82" s="109" t="b">
        <v>0</v>
      </c>
      <c r="L82" s="109" t="b">
        <v>0</v>
      </c>
    </row>
    <row r="83" spans="1:12" ht="15">
      <c r="A83" s="111" t="s">
        <v>335</v>
      </c>
      <c r="B83" s="109" t="s">
        <v>334</v>
      </c>
      <c r="C83" s="109">
        <v>6</v>
      </c>
      <c r="D83" s="113">
        <v>0.05443437614794531</v>
      </c>
      <c r="E83" s="113">
        <v>1.021189299069938</v>
      </c>
      <c r="F83" s="109" t="s">
        <v>313</v>
      </c>
      <c r="G83" s="109" t="b">
        <v>0</v>
      </c>
      <c r="H83" s="109" t="b">
        <v>0</v>
      </c>
      <c r="I83" s="109" t="b">
        <v>0</v>
      </c>
      <c r="J83" s="109" t="b">
        <v>0</v>
      </c>
      <c r="K83" s="109" t="b">
        <v>0</v>
      </c>
      <c r="L83" s="109" t="b">
        <v>0</v>
      </c>
    </row>
    <row r="84" spans="1:12" ht="15">
      <c r="A84" s="111" t="s">
        <v>354</v>
      </c>
      <c r="B84" s="109" t="s">
        <v>347</v>
      </c>
      <c r="C84" s="109">
        <v>3</v>
      </c>
      <c r="D84" s="113">
        <v>0.039760104559971865</v>
      </c>
      <c r="E84" s="113">
        <v>1.3222192947339193</v>
      </c>
      <c r="F84" s="109" t="s">
        <v>313</v>
      </c>
      <c r="G84" s="109" t="b">
        <v>0</v>
      </c>
      <c r="H84" s="109" t="b">
        <v>0</v>
      </c>
      <c r="I84" s="109" t="b">
        <v>0</v>
      </c>
      <c r="J84" s="109" t="b">
        <v>0</v>
      </c>
      <c r="K84" s="109" t="b">
        <v>0</v>
      </c>
      <c r="L84" s="109" t="b">
        <v>0</v>
      </c>
    </row>
    <row r="85" spans="1:12" ht="15">
      <c r="A85" s="111" t="s">
        <v>349</v>
      </c>
      <c r="B85" s="109" t="s">
        <v>376</v>
      </c>
      <c r="C85" s="109">
        <v>3</v>
      </c>
      <c r="D85" s="113">
        <v>0.039760104559971865</v>
      </c>
      <c r="E85" s="113">
        <v>1.3222192947339193</v>
      </c>
      <c r="F85" s="109" t="s">
        <v>313</v>
      </c>
      <c r="G85" s="109" t="b">
        <v>0</v>
      </c>
      <c r="H85" s="109" t="b">
        <v>0</v>
      </c>
      <c r="I85" s="109" t="b">
        <v>0</v>
      </c>
      <c r="J85" s="109" t="b">
        <v>0</v>
      </c>
      <c r="K85" s="109" t="b">
        <v>0</v>
      </c>
      <c r="L85" s="109" t="b">
        <v>0</v>
      </c>
    </row>
    <row r="86" spans="1:12" ht="15">
      <c r="A86" s="111" t="s">
        <v>347</v>
      </c>
      <c r="B86" s="109" t="s">
        <v>367</v>
      </c>
      <c r="C86" s="109">
        <v>3</v>
      </c>
      <c r="D86" s="113">
        <v>0.039760104559971865</v>
      </c>
      <c r="E86" s="113">
        <v>1.3222192947339193</v>
      </c>
      <c r="F86" s="109" t="s">
        <v>313</v>
      </c>
      <c r="G86" s="109" t="b">
        <v>0</v>
      </c>
      <c r="H86" s="109" t="b">
        <v>0</v>
      </c>
      <c r="I86" s="109" t="b">
        <v>0</v>
      </c>
      <c r="J86" s="109" t="b">
        <v>0</v>
      </c>
      <c r="K86" s="109" t="b">
        <v>0</v>
      </c>
      <c r="L86" s="109" t="b">
        <v>0</v>
      </c>
    </row>
    <row r="87" spans="1:12" ht="15">
      <c r="A87" s="111" t="s">
        <v>359</v>
      </c>
      <c r="B87" s="109" t="s">
        <v>346</v>
      </c>
      <c r="C87" s="109">
        <v>3</v>
      </c>
      <c r="D87" s="113">
        <v>0.039760104559971865</v>
      </c>
      <c r="E87" s="113">
        <v>1.3222192947339193</v>
      </c>
      <c r="F87" s="109" t="s">
        <v>313</v>
      </c>
      <c r="G87" s="109" t="b">
        <v>0</v>
      </c>
      <c r="H87" s="109" t="b">
        <v>0</v>
      </c>
      <c r="I87" s="109" t="b">
        <v>0</v>
      </c>
      <c r="J87" s="109" t="b">
        <v>0</v>
      </c>
      <c r="K87" s="109" t="b">
        <v>0</v>
      </c>
      <c r="L87" s="109" t="b">
        <v>0</v>
      </c>
    </row>
    <row r="88" spans="1:12" ht="15">
      <c r="A88" s="111" t="s">
        <v>334</v>
      </c>
      <c r="B88" s="109" t="s">
        <v>359</v>
      </c>
      <c r="C88" s="109">
        <v>3</v>
      </c>
      <c r="D88" s="113">
        <v>0.039760104559971865</v>
      </c>
      <c r="E88" s="113">
        <v>1.021189299069938</v>
      </c>
      <c r="F88" s="109" t="s">
        <v>313</v>
      </c>
      <c r="G88" s="109" t="b">
        <v>0</v>
      </c>
      <c r="H88" s="109" t="b">
        <v>0</v>
      </c>
      <c r="I88" s="109" t="b">
        <v>0</v>
      </c>
      <c r="J88" s="109" t="b">
        <v>0</v>
      </c>
      <c r="K88" s="109" t="b">
        <v>0</v>
      </c>
      <c r="L88" s="109" t="b">
        <v>0</v>
      </c>
    </row>
    <row r="89" spans="1:12" ht="15">
      <c r="A89" s="111" t="s">
        <v>361</v>
      </c>
      <c r="B89" s="109" t="s">
        <v>354</v>
      </c>
      <c r="C89" s="109">
        <v>3</v>
      </c>
      <c r="D89" s="113">
        <v>0.039760104559971865</v>
      </c>
      <c r="E89" s="113">
        <v>1.3222192947339193</v>
      </c>
      <c r="F89" s="109" t="s">
        <v>313</v>
      </c>
      <c r="G89" s="109" t="b">
        <v>0</v>
      </c>
      <c r="H89" s="109" t="b">
        <v>0</v>
      </c>
      <c r="I89" s="109" t="b">
        <v>0</v>
      </c>
      <c r="J89" s="109" t="b">
        <v>0</v>
      </c>
      <c r="K89" s="109" t="b">
        <v>0</v>
      </c>
      <c r="L89" s="109" t="b">
        <v>0</v>
      </c>
    </row>
    <row r="90" spans="1:12" ht="15">
      <c r="A90" s="111" t="s">
        <v>334</v>
      </c>
      <c r="B90" s="109" t="s">
        <v>349</v>
      </c>
      <c r="C90" s="109">
        <v>3</v>
      </c>
      <c r="D90" s="113">
        <v>0.039760104559971865</v>
      </c>
      <c r="E90" s="113">
        <v>1.021189299069938</v>
      </c>
      <c r="F90" s="109" t="s">
        <v>313</v>
      </c>
      <c r="G90" s="109" t="b">
        <v>0</v>
      </c>
      <c r="H90" s="109" t="b">
        <v>0</v>
      </c>
      <c r="I90" s="109" t="b">
        <v>0</v>
      </c>
      <c r="J90" s="109" t="b">
        <v>0</v>
      </c>
      <c r="K90" s="109" t="b">
        <v>0</v>
      </c>
      <c r="L90" s="109" t="b">
        <v>0</v>
      </c>
    </row>
    <row r="91" spans="1:12" ht="15">
      <c r="A91" s="111" t="s">
        <v>346</v>
      </c>
      <c r="B91" s="109" t="s">
        <v>335</v>
      </c>
      <c r="C91" s="109">
        <v>2</v>
      </c>
      <c r="D91" s="113">
        <v>0.026506736373314577</v>
      </c>
      <c r="E91" s="113">
        <v>0.8450980400142569</v>
      </c>
      <c r="F91" s="109" t="s">
        <v>313</v>
      </c>
      <c r="G91" s="109" t="b">
        <v>0</v>
      </c>
      <c r="H91" s="109" t="b">
        <v>0</v>
      </c>
      <c r="I91" s="109" t="b">
        <v>0</v>
      </c>
      <c r="J91" s="109" t="b">
        <v>0</v>
      </c>
      <c r="K91" s="109" t="b">
        <v>0</v>
      </c>
      <c r="L91" s="109" t="b">
        <v>0</v>
      </c>
    </row>
    <row r="92" spans="1:12" ht="15">
      <c r="A92" s="111" t="s">
        <v>343</v>
      </c>
      <c r="B92" s="109" t="s">
        <v>383</v>
      </c>
      <c r="C92" s="109">
        <v>2</v>
      </c>
      <c r="D92" s="113">
        <v>0.026506736373314577</v>
      </c>
      <c r="E92" s="113">
        <v>1.1972805581256194</v>
      </c>
      <c r="F92" s="109" t="s">
        <v>313</v>
      </c>
      <c r="G92" s="109" t="b">
        <v>0</v>
      </c>
      <c r="H92" s="109" t="b">
        <v>0</v>
      </c>
      <c r="I92" s="109" t="b">
        <v>0</v>
      </c>
      <c r="J92" s="109" t="b">
        <v>0</v>
      </c>
      <c r="K92" s="109" t="b">
        <v>0</v>
      </c>
      <c r="L92" s="109" t="b">
        <v>0</v>
      </c>
    </row>
    <row r="93" spans="1:12" ht="15">
      <c r="A93" s="111" t="s">
        <v>367</v>
      </c>
      <c r="B93" s="109" t="s">
        <v>361</v>
      </c>
      <c r="C93" s="109">
        <v>2</v>
      </c>
      <c r="D93" s="113">
        <v>0.026506736373314577</v>
      </c>
      <c r="E93" s="113">
        <v>1.3222192947339193</v>
      </c>
      <c r="F93" s="109" t="s">
        <v>313</v>
      </c>
      <c r="G93" s="109" t="b">
        <v>0</v>
      </c>
      <c r="H93" s="109" t="b">
        <v>0</v>
      </c>
      <c r="I93" s="109" t="b">
        <v>0</v>
      </c>
      <c r="J93" s="109" t="b">
        <v>0</v>
      </c>
      <c r="K93" s="109" t="b">
        <v>0</v>
      </c>
      <c r="L93" s="109" t="b">
        <v>0</v>
      </c>
    </row>
    <row r="94" spans="1:12" ht="15">
      <c r="A94" s="111" t="s">
        <v>348</v>
      </c>
      <c r="B94" s="109" t="s">
        <v>341</v>
      </c>
      <c r="C94" s="109">
        <v>2</v>
      </c>
      <c r="D94" s="113">
        <v>0.018144792049315104</v>
      </c>
      <c r="E94" s="113">
        <v>1.1972805581256194</v>
      </c>
      <c r="F94" s="109" t="s">
        <v>313</v>
      </c>
      <c r="G94" s="109" t="b">
        <v>1</v>
      </c>
      <c r="H94" s="109" t="b">
        <v>0</v>
      </c>
      <c r="I94" s="109" t="b">
        <v>0</v>
      </c>
      <c r="J94" s="109" t="b">
        <v>0</v>
      </c>
      <c r="K94" s="109" t="b">
        <v>0</v>
      </c>
      <c r="L94" s="109" t="b">
        <v>0</v>
      </c>
    </row>
    <row r="95" spans="1:12" ht="15">
      <c r="A95" s="111" t="s">
        <v>332</v>
      </c>
      <c r="B95" s="109" t="s">
        <v>335</v>
      </c>
      <c r="C95" s="109">
        <v>2</v>
      </c>
      <c r="D95" s="113">
        <v>0.018144792049315104</v>
      </c>
      <c r="E95" s="113">
        <v>0.7201593034059569</v>
      </c>
      <c r="F95" s="109" t="s">
        <v>313</v>
      </c>
      <c r="G95" s="109" t="b">
        <v>0</v>
      </c>
      <c r="H95" s="109" t="b">
        <v>0</v>
      </c>
      <c r="I95" s="109" t="b">
        <v>0</v>
      </c>
      <c r="J95" s="109" t="b">
        <v>0</v>
      </c>
      <c r="K95" s="109" t="b">
        <v>0</v>
      </c>
      <c r="L95" s="109" t="b">
        <v>0</v>
      </c>
    </row>
    <row r="96" spans="1:12" ht="15">
      <c r="A96" s="111" t="s">
        <v>343</v>
      </c>
      <c r="B96" s="109" t="s">
        <v>343</v>
      </c>
      <c r="C96" s="109">
        <v>2</v>
      </c>
      <c r="D96" s="113">
        <v>0.026506736373314577</v>
      </c>
      <c r="E96" s="113">
        <v>0.8962505624616381</v>
      </c>
      <c r="F96" s="109" t="s">
        <v>313</v>
      </c>
      <c r="G96" s="109" t="b">
        <v>0</v>
      </c>
      <c r="H96" s="109" t="b">
        <v>0</v>
      </c>
      <c r="I96" s="109" t="b">
        <v>0</v>
      </c>
      <c r="J96" s="109" t="b">
        <v>0</v>
      </c>
      <c r="K96" s="109" t="b">
        <v>0</v>
      </c>
      <c r="L96" s="109" t="b">
        <v>0</v>
      </c>
    </row>
    <row r="97" spans="1:12" ht="15">
      <c r="A97" s="111" t="s">
        <v>376</v>
      </c>
      <c r="B97" s="109" t="s">
        <v>335</v>
      </c>
      <c r="C97" s="109">
        <v>2</v>
      </c>
      <c r="D97" s="113">
        <v>0.026506736373314577</v>
      </c>
      <c r="E97" s="113">
        <v>0.8450980400142569</v>
      </c>
      <c r="F97" s="109" t="s">
        <v>313</v>
      </c>
      <c r="G97" s="109" t="b">
        <v>0</v>
      </c>
      <c r="H97" s="109" t="b">
        <v>0</v>
      </c>
      <c r="I97" s="109" t="b">
        <v>0</v>
      </c>
      <c r="J97" s="109" t="b">
        <v>0</v>
      </c>
      <c r="K97" s="109" t="b">
        <v>0</v>
      </c>
      <c r="L97" s="109" t="b">
        <v>0</v>
      </c>
    </row>
    <row r="98" spans="1:12" ht="15">
      <c r="A98" s="111" t="s">
        <v>333</v>
      </c>
      <c r="B98" s="109" t="s">
        <v>332</v>
      </c>
      <c r="C98" s="109">
        <v>2</v>
      </c>
      <c r="D98" s="113">
        <v>0.018144792049315104</v>
      </c>
      <c r="E98" s="113">
        <v>1.1972805581256194</v>
      </c>
      <c r="F98" s="109" t="s">
        <v>313</v>
      </c>
      <c r="G98" s="109" t="b">
        <v>0</v>
      </c>
      <c r="H98" s="109" t="b">
        <v>0</v>
      </c>
      <c r="I98" s="109" t="b">
        <v>0</v>
      </c>
      <c r="J98" s="109" t="b">
        <v>0</v>
      </c>
      <c r="K98" s="109" t="b">
        <v>0</v>
      </c>
      <c r="L98" s="109" t="b">
        <v>0</v>
      </c>
    </row>
    <row r="99" spans="1:12" ht="15">
      <c r="A99" s="111" t="s">
        <v>383</v>
      </c>
      <c r="B99" s="109" t="s">
        <v>382</v>
      </c>
      <c r="C99" s="109">
        <v>2</v>
      </c>
      <c r="D99" s="113">
        <v>0.026506736373314577</v>
      </c>
      <c r="E99" s="113">
        <v>1.4983105537896007</v>
      </c>
      <c r="F99" s="109" t="s">
        <v>313</v>
      </c>
      <c r="G99" s="109" t="b">
        <v>0</v>
      </c>
      <c r="H99" s="109" t="b">
        <v>0</v>
      </c>
      <c r="I99" s="109" t="b">
        <v>0</v>
      </c>
      <c r="J99" s="109" t="b">
        <v>0</v>
      </c>
      <c r="K99" s="109" t="b">
        <v>0</v>
      </c>
      <c r="L99" s="109" t="b">
        <v>0</v>
      </c>
    </row>
    <row r="100" spans="1:12" ht="15">
      <c r="A100" s="111" t="s">
        <v>337</v>
      </c>
      <c r="B100" s="109" t="s">
        <v>339</v>
      </c>
      <c r="C100" s="109">
        <v>9</v>
      </c>
      <c r="D100" s="113">
        <v>0.07233431302736848</v>
      </c>
      <c r="E100" s="113">
        <v>0.6989700043360187</v>
      </c>
      <c r="F100" s="109" t="s">
        <v>314</v>
      </c>
      <c r="G100" s="109" t="b">
        <v>0</v>
      </c>
      <c r="H100" s="109" t="b">
        <v>0</v>
      </c>
      <c r="I100" s="109" t="b">
        <v>0</v>
      </c>
      <c r="J100" s="109" t="b">
        <v>0</v>
      </c>
      <c r="K100" s="109" t="b">
        <v>0</v>
      </c>
      <c r="L100" s="109" t="b">
        <v>0</v>
      </c>
    </row>
    <row r="101" spans="1:12" ht="15">
      <c r="A101" s="111" t="s">
        <v>339</v>
      </c>
      <c r="B101" s="109" t="s">
        <v>336</v>
      </c>
      <c r="C101" s="109">
        <v>9</v>
      </c>
      <c r="D101" s="113">
        <v>0.07233431302736848</v>
      </c>
      <c r="E101" s="113">
        <v>0.6989700043360187</v>
      </c>
      <c r="F101" s="109" t="s">
        <v>314</v>
      </c>
      <c r="G101" s="109" t="b">
        <v>0</v>
      </c>
      <c r="H101" s="109" t="b">
        <v>0</v>
      </c>
      <c r="I101" s="109" t="b">
        <v>0</v>
      </c>
      <c r="J101" s="109" t="b">
        <v>0</v>
      </c>
      <c r="K101" s="109" t="b">
        <v>0</v>
      </c>
      <c r="L101" s="109" t="b">
        <v>0</v>
      </c>
    </row>
    <row r="102" spans="1:12" ht="15">
      <c r="A102" s="111" t="s">
        <v>336</v>
      </c>
      <c r="B102" s="109" t="s">
        <v>338</v>
      </c>
      <c r="C102" s="109">
        <v>9</v>
      </c>
      <c r="D102" s="113">
        <v>0.07233431302736848</v>
      </c>
      <c r="E102" s="113">
        <v>0.6989700043360187</v>
      </c>
      <c r="F102" s="109" t="s">
        <v>314</v>
      </c>
      <c r="G102" s="109" t="b">
        <v>0</v>
      </c>
      <c r="H102" s="109" t="b">
        <v>0</v>
      </c>
      <c r="I102" s="109" t="b">
        <v>0</v>
      </c>
      <c r="J102" s="109" t="b">
        <v>0</v>
      </c>
      <c r="K102" s="109" t="b">
        <v>0</v>
      </c>
      <c r="L102" s="109" t="b">
        <v>0</v>
      </c>
    </row>
    <row r="103" spans="1:12" ht="15">
      <c r="A103" s="111" t="s">
        <v>338</v>
      </c>
      <c r="B103" s="109" t="s">
        <v>337</v>
      </c>
      <c r="C103" s="109">
        <v>6</v>
      </c>
      <c r="D103" s="113">
        <v>0.04822287535157899</v>
      </c>
      <c r="E103" s="113">
        <v>0.5228787452803375</v>
      </c>
      <c r="F103" s="109" t="s">
        <v>314</v>
      </c>
      <c r="G103" s="109" t="b">
        <v>0</v>
      </c>
      <c r="H103" s="109" t="b">
        <v>0</v>
      </c>
      <c r="I103" s="109" t="b">
        <v>0</v>
      </c>
      <c r="J103" s="109" t="b">
        <v>0</v>
      </c>
      <c r="K103" s="109" t="b">
        <v>0</v>
      </c>
      <c r="L103" s="109" t="b">
        <v>0</v>
      </c>
    </row>
    <row r="104" spans="1:12" ht="15">
      <c r="A104" s="111" t="s">
        <v>333</v>
      </c>
      <c r="B104" s="109" t="s">
        <v>332</v>
      </c>
      <c r="C104" s="109">
        <v>3</v>
      </c>
      <c r="D104" s="113">
        <v>0.024111437675789497</v>
      </c>
      <c r="E104" s="113">
        <v>1.1760912590556813</v>
      </c>
      <c r="F104" s="109" t="s">
        <v>314</v>
      </c>
      <c r="G104" s="109" t="b">
        <v>0</v>
      </c>
      <c r="H104" s="109" t="b">
        <v>0</v>
      </c>
      <c r="I104" s="109" t="b">
        <v>0</v>
      </c>
      <c r="J104" s="109" t="b">
        <v>0</v>
      </c>
      <c r="K104" s="109" t="b">
        <v>0</v>
      </c>
      <c r="L104" s="109" t="b">
        <v>0</v>
      </c>
    </row>
    <row r="105" spans="1:12" ht="15">
      <c r="A105" s="111" t="s">
        <v>340</v>
      </c>
      <c r="B105" s="109" t="s">
        <v>337</v>
      </c>
      <c r="C105" s="109">
        <v>2</v>
      </c>
      <c r="D105" s="113">
        <v>0.022719244955772166</v>
      </c>
      <c r="E105" s="113">
        <v>0.6989700043360189</v>
      </c>
      <c r="F105" s="109" t="s">
        <v>314</v>
      </c>
      <c r="G105" s="109" t="b">
        <v>0</v>
      </c>
      <c r="H105" s="109" t="b">
        <v>0</v>
      </c>
      <c r="I105" s="109" t="b">
        <v>0</v>
      </c>
      <c r="J105" s="109" t="b">
        <v>0</v>
      </c>
      <c r="K105" s="109" t="b">
        <v>0</v>
      </c>
      <c r="L105" s="109" t="b">
        <v>0</v>
      </c>
    </row>
    <row r="106" spans="1:12" ht="15">
      <c r="A106" s="111" t="s">
        <v>332</v>
      </c>
      <c r="B106" s="109" t="s">
        <v>340</v>
      </c>
      <c r="C106" s="109">
        <v>2</v>
      </c>
      <c r="D106" s="113">
        <v>0.022719244955772166</v>
      </c>
      <c r="E106" s="113">
        <v>1.1760912590556813</v>
      </c>
      <c r="F106" s="109" t="s">
        <v>314</v>
      </c>
      <c r="G106" s="109" t="b">
        <v>0</v>
      </c>
      <c r="H106" s="109" t="b">
        <v>0</v>
      </c>
      <c r="I106" s="109" t="b">
        <v>0</v>
      </c>
      <c r="J106" s="109" t="b">
        <v>0</v>
      </c>
      <c r="K106" s="109" t="b">
        <v>0</v>
      </c>
      <c r="L106" s="10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C721917-0E2C-4130-B760-FFFE2CEB97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2023-08-01T20:35:04Z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